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deeduar-my.sharepoint.com/personal/martinalvarez_uade_edu_ar/Documents/Documentos/INECO/Base de datos/Página de UADE/"/>
    </mc:Choice>
  </mc:AlternateContent>
  <xr:revisionPtr revIDLastSave="104" documentId="8_{6B108C10-27D4-4E06-BB8D-2BA2C22B4772}" xr6:coauthVersionLast="47" xr6:coauthVersionMax="47" xr10:uidLastSave="{3F875D8E-3C04-497B-89F9-E9F86F42A0CF}"/>
  <bookViews>
    <workbookView xWindow="-120" yWindow="-120" windowWidth="20730" windowHeight="11160" tabRatio="867" firstSheet="7" activeTab="12" xr2:uid="{C126F249-5820-490A-AAFD-A195B152752C}"/>
  </bookViews>
  <sheets>
    <sheet name="INDICE" sheetId="26" r:id="rId1"/>
    <sheet name="96-21" sheetId="23" r:id="rId2"/>
    <sheet name="Cuadro trimestral (96-21)" sheetId="24" r:id="rId3"/>
    <sheet name="Cuadro anual (96-21)" sheetId="25" r:id="rId4"/>
    <sheet name="96-02" sheetId="8" r:id="rId5"/>
    <sheet name="Cuadro trimestral (96-02)" sheetId="13" r:id="rId6"/>
    <sheet name="Cuadro anual (96-02)" sheetId="14" r:id="rId7"/>
    <sheet name="03-19" sheetId="9" r:id="rId8"/>
    <sheet name="Cuadro trimestral (03-19)" sheetId="15" r:id="rId9"/>
    <sheet name="Cuadro anual (03-19)" sheetId="16" r:id="rId10"/>
    <sheet name="20-24" sheetId="20" r:id="rId11"/>
    <sheet name="Cuadro trimestral (20-24)" sheetId="21" r:id="rId12"/>
    <sheet name="Cuadro anual (20-24)" sheetId="22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22" l="1"/>
  <c r="D14" i="22"/>
  <c r="E14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R14" i="22"/>
  <c r="S14" i="22"/>
  <c r="T14" i="22"/>
  <c r="U14" i="22"/>
  <c r="V14" i="22"/>
  <c r="W14" i="22"/>
  <c r="X14" i="22"/>
  <c r="Y14" i="22"/>
  <c r="Z14" i="22"/>
  <c r="AA14" i="22"/>
  <c r="AB14" i="22"/>
  <c r="AC14" i="22"/>
  <c r="AD14" i="22"/>
  <c r="AE14" i="22"/>
  <c r="B14" i="22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AA26" i="21"/>
  <c r="AB26" i="21"/>
  <c r="AC26" i="21"/>
  <c r="AD26" i="21"/>
  <c r="AE26" i="21"/>
  <c r="B26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B25" i="21"/>
  <c r="C13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B13" i="22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AD24" i="21"/>
  <c r="AE24" i="21"/>
  <c r="B24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AA23" i="21"/>
  <c r="AB23" i="21"/>
  <c r="AC23" i="21"/>
  <c r="AD23" i="21"/>
  <c r="AE23" i="21"/>
  <c r="B23" i="21"/>
  <c r="Z35" i="25"/>
  <c r="N310" i="23"/>
  <c r="N35" i="25" s="1"/>
  <c r="C310" i="23"/>
  <c r="C110" i="24"/>
  <c r="D310" i="23"/>
  <c r="D110" i="24" s="1"/>
  <c r="E310" i="23"/>
  <c r="E110" i="24" s="1"/>
  <c r="F310" i="23"/>
  <c r="F110" i="24" s="1"/>
  <c r="G310" i="23"/>
  <c r="G110" i="24" s="1"/>
  <c r="H310" i="23"/>
  <c r="H110" i="24" s="1"/>
  <c r="I310" i="23"/>
  <c r="I110" i="24" s="1"/>
  <c r="J310" i="23"/>
  <c r="J110" i="24" s="1"/>
  <c r="K310" i="23"/>
  <c r="K110" i="24" s="1"/>
  <c r="L310" i="23"/>
  <c r="L110" i="24" s="1"/>
  <c r="O310" i="23"/>
  <c r="O110" i="24" s="1"/>
  <c r="P310" i="23"/>
  <c r="P110" i="24" s="1"/>
  <c r="Q310" i="23"/>
  <c r="Q110" i="24" s="1"/>
  <c r="R310" i="23"/>
  <c r="R110" i="24" s="1"/>
  <c r="S310" i="23"/>
  <c r="S110" i="24" s="1"/>
  <c r="T310" i="23"/>
  <c r="T110" i="24" s="1"/>
  <c r="U310" i="23"/>
  <c r="U110" i="24" s="1"/>
  <c r="V310" i="23"/>
  <c r="V110" i="24" s="1"/>
  <c r="W310" i="23"/>
  <c r="W110" i="24" s="1"/>
  <c r="X310" i="23"/>
  <c r="X110" i="24" s="1"/>
  <c r="Y310" i="23"/>
  <c r="Y110" i="24" s="1"/>
  <c r="Z110" i="24"/>
  <c r="AA110" i="24"/>
  <c r="AA310" i="23"/>
  <c r="AA35" i="25"/>
  <c r="AB310" i="23"/>
  <c r="AB35" i="25" s="1"/>
  <c r="AC310" i="23"/>
  <c r="AC35" i="25" s="1"/>
  <c r="AD310" i="23"/>
  <c r="AD35" i="25" s="1"/>
  <c r="AE310" i="23"/>
  <c r="AE35" i="25" s="1"/>
  <c r="B310" i="23"/>
  <c r="B110" i="24" s="1"/>
  <c r="AH21" i="8"/>
  <c r="AO21" i="8"/>
  <c r="AN21" i="8"/>
  <c r="W35" i="25"/>
  <c r="I35" i="25"/>
  <c r="F35" i="25"/>
  <c r="E35" i="25"/>
  <c r="Y35" i="25"/>
  <c r="U35" i="25"/>
  <c r="Q35" i="25"/>
  <c r="H35" i="25"/>
  <c r="K35" i="25"/>
  <c r="C35" i="25"/>
  <c r="AC110" i="24"/>
  <c r="AE110" i="24"/>
  <c r="C27" i="16"/>
  <c r="D27" i="16"/>
  <c r="E27" i="16"/>
  <c r="F27" i="16"/>
  <c r="G27" i="16"/>
  <c r="H27" i="16"/>
  <c r="I27" i="16"/>
  <c r="J27" i="16"/>
  <c r="K27" i="16"/>
  <c r="L27" i="16"/>
  <c r="R27" i="16"/>
  <c r="S27" i="16"/>
  <c r="T27" i="16"/>
  <c r="U27" i="16"/>
  <c r="V27" i="16"/>
  <c r="W27" i="16"/>
  <c r="X27" i="16"/>
  <c r="Y27" i="16"/>
  <c r="Z27" i="16"/>
  <c r="AA27" i="16"/>
  <c r="AB27" i="16"/>
  <c r="AC27" i="16"/>
  <c r="AD27" i="16"/>
  <c r="AE27" i="16"/>
  <c r="AF27" i="16"/>
  <c r="AG27" i="16"/>
  <c r="AH27" i="16"/>
  <c r="AI27" i="16"/>
  <c r="B27" i="16"/>
  <c r="C81" i="15"/>
  <c r="D81" i="15"/>
  <c r="E81" i="15"/>
  <c r="F81" i="15"/>
  <c r="G81" i="15"/>
  <c r="H81" i="15"/>
  <c r="I81" i="15"/>
  <c r="J81" i="15"/>
  <c r="K81" i="15"/>
  <c r="L81" i="15"/>
  <c r="R81" i="15"/>
  <c r="S81" i="15"/>
  <c r="T81" i="15"/>
  <c r="U81" i="15"/>
  <c r="V81" i="15"/>
  <c r="W81" i="15"/>
  <c r="X81" i="15"/>
  <c r="Y81" i="15"/>
  <c r="Z81" i="15"/>
  <c r="AA81" i="15"/>
  <c r="AB81" i="15"/>
  <c r="AC81" i="15"/>
  <c r="AD81" i="15"/>
  <c r="AE81" i="15"/>
  <c r="AF81" i="15"/>
  <c r="AG81" i="15"/>
  <c r="AH81" i="15"/>
  <c r="AI81" i="15"/>
  <c r="B81" i="15"/>
  <c r="O215" i="9"/>
  <c r="P215" i="9"/>
  <c r="Q215" i="9"/>
  <c r="O216" i="9"/>
  <c r="P216" i="9"/>
  <c r="Q216" i="9"/>
  <c r="O217" i="9"/>
  <c r="P217" i="9"/>
  <c r="Q217" i="9"/>
  <c r="O218" i="9"/>
  <c r="P218" i="9"/>
  <c r="Q218" i="9"/>
  <c r="O219" i="9"/>
  <c r="P219" i="9"/>
  <c r="Q219" i="9"/>
  <c r="O220" i="9"/>
  <c r="P220" i="9"/>
  <c r="Q220" i="9"/>
  <c r="O221" i="9"/>
  <c r="P221" i="9"/>
  <c r="Q221" i="9"/>
  <c r="O222" i="9"/>
  <c r="P222" i="9"/>
  <c r="Q222" i="9"/>
  <c r="P214" i="9"/>
  <c r="Q214" i="9"/>
  <c r="O214" i="9"/>
  <c r="N222" i="9"/>
  <c r="N27" i="16"/>
  <c r="M222" i="9"/>
  <c r="M27" i="16"/>
  <c r="P27" i="16"/>
  <c r="O27" i="16"/>
  <c r="Q27" i="16"/>
  <c r="B9" i="8"/>
  <c r="AJ92" i="8"/>
  <c r="AJ91" i="8"/>
  <c r="AJ90" i="8"/>
  <c r="AJ89" i="8"/>
  <c r="AJ88" i="8"/>
  <c r="AJ87" i="8"/>
  <c r="AJ86" i="8"/>
  <c r="AJ85" i="8"/>
  <c r="AJ84" i="8"/>
  <c r="AJ83" i="8"/>
  <c r="AJ82" i="8"/>
  <c r="AJ81" i="8"/>
  <c r="AJ80" i="8"/>
  <c r="AG80" i="8"/>
  <c r="L80" i="8"/>
  <c r="AJ79" i="8"/>
  <c r="AG79" i="8"/>
  <c r="AJ78" i="8"/>
  <c r="AG78" i="8"/>
  <c r="AJ77" i="8"/>
  <c r="AG77" i="8"/>
  <c r="AJ76" i="8"/>
  <c r="AG76" i="8"/>
  <c r="L76" i="8"/>
  <c r="AJ75" i="8"/>
  <c r="AG75" i="8"/>
  <c r="AJ74" i="8"/>
  <c r="AG74" i="8"/>
  <c r="AJ73" i="8"/>
  <c r="AJ72" i="8"/>
  <c r="AJ71" i="8"/>
  <c r="AJ70" i="8"/>
  <c r="Q70" i="8"/>
  <c r="AJ69" i="8"/>
  <c r="Q69" i="8"/>
  <c r="AJ68" i="8"/>
  <c r="AJ67" i="8"/>
  <c r="AJ66" i="8"/>
  <c r="AJ65" i="8"/>
  <c r="H65" i="8"/>
  <c r="AJ64" i="8"/>
  <c r="AJ63" i="8"/>
  <c r="AJ62" i="8"/>
  <c r="Q52" i="8"/>
  <c r="Q45" i="8"/>
  <c r="AA32" i="8"/>
  <c r="M32" i="8"/>
  <c r="L32" i="8"/>
  <c r="K32" i="8"/>
  <c r="J32" i="8"/>
  <c r="M31" i="8"/>
  <c r="L31" i="8"/>
  <c r="K31" i="8"/>
  <c r="J31" i="8"/>
  <c r="M30" i="8"/>
  <c r="L30" i="8"/>
  <c r="K30" i="8"/>
  <c r="J30" i="8"/>
  <c r="M29" i="8"/>
  <c r="L29" i="8"/>
  <c r="K29" i="8"/>
  <c r="J29" i="8"/>
  <c r="M28" i="8"/>
  <c r="L28" i="8"/>
  <c r="K28" i="8"/>
  <c r="J28" i="8"/>
  <c r="M27" i="8"/>
  <c r="L27" i="8"/>
  <c r="K27" i="8"/>
  <c r="J27" i="8"/>
  <c r="AA26" i="8"/>
  <c r="M26" i="8"/>
  <c r="L26" i="8"/>
  <c r="K26" i="8"/>
  <c r="J26" i="8"/>
  <c r="M25" i="8"/>
  <c r="L25" i="8"/>
  <c r="K25" i="8"/>
  <c r="J25" i="8"/>
  <c r="M24" i="8"/>
  <c r="L24" i="8"/>
  <c r="K24" i="8"/>
  <c r="J24" i="8"/>
  <c r="AA23" i="8"/>
  <c r="M23" i="8"/>
  <c r="L23" i="8"/>
  <c r="K23" i="8"/>
  <c r="J23" i="8"/>
  <c r="AA22" i="8"/>
  <c r="M22" i="8"/>
  <c r="L22" i="8"/>
  <c r="K22" i="8"/>
  <c r="J22" i="8"/>
  <c r="N21" i="8"/>
  <c r="M21" i="8"/>
  <c r="K21" i="8"/>
  <c r="J21" i="8"/>
  <c r="AM22" i="8"/>
  <c r="N20" i="8"/>
  <c r="M20" i="8"/>
  <c r="K20" i="8"/>
  <c r="J20" i="8"/>
  <c r="E20" i="8"/>
  <c r="D20" i="8"/>
  <c r="C20" i="8"/>
  <c r="B20" i="8"/>
  <c r="N19" i="8"/>
  <c r="M19" i="8"/>
  <c r="K19" i="8"/>
  <c r="J19" i="8"/>
  <c r="E19" i="8"/>
  <c r="D19" i="8"/>
  <c r="C19" i="8"/>
  <c r="B19" i="8"/>
  <c r="N18" i="8"/>
  <c r="M18" i="8"/>
  <c r="K18" i="8"/>
  <c r="J18" i="8"/>
  <c r="E18" i="8"/>
  <c r="D18" i="8"/>
  <c r="C18" i="8"/>
  <c r="B18" i="8"/>
  <c r="N17" i="8"/>
  <c r="M17" i="8"/>
  <c r="K17" i="8"/>
  <c r="J17" i="8"/>
  <c r="E17" i="8"/>
  <c r="D17" i="8"/>
  <c r="C17" i="8"/>
  <c r="B17" i="8"/>
  <c r="N16" i="8"/>
  <c r="M16" i="8"/>
  <c r="K16" i="8"/>
  <c r="J16" i="8"/>
  <c r="E16" i="8"/>
  <c r="D16" i="8"/>
  <c r="C16" i="8"/>
  <c r="B16" i="8"/>
  <c r="AG15" i="8"/>
  <c r="N15" i="8"/>
  <c r="M15" i="8"/>
  <c r="K15" i="8"/>
  <c r="J15" i="8"/>
  <c r="E15" i="8"/>
  <c r="D15" i="8"/>
  <c r="C15" i="8"/>
  <c r="B15" i="8"/>
  <c r="AA14" i="8"/>
  <c r="N14" i="8"/>
  <c r="M14" i="8"/>
  <c r="K14" i="8"/>
  <c r="J14" i="8"/>
  <c r="E14" i="8"/>
  <c r="D14" i="8"/>
  <c r="C14" i="8"/>
  <c r="B14" i="8"/>
  <c r="N13" i="8"/>
  <c r="M13" i="8"/>
  <c r="K13" i="8"/>
  <c r="J13" i="8"/>
  <c r="E13" i="8"/>
  <c r="D13" i="8"/>
  <c r="C13" i="8"/>
  <c r="B13" i="8"/>
  <c r="N12" i="8"/>
  <c r="M12" i="8"/>
  <c r="K12" i="8"/>
  <c r="J12" i="8"/>
  <c r="E12" i="8"/>
  <c r="D12" i="8"/>
  <c r="C12" i="8"/>
  <c r="B12" i="8"/>
  <c r="AA11" i="8"/>
  <c r="N11" i="8"/>
  <c r="M11" i="8"/>
  <c r="L11" i="8"/>
  <c r="K11" i="8"/>
  <c r="J11" i="8"/>
  <c r="E11" i="8"/>
  <c r="D11" i="8"/>
  <c r="C11" i="8"/>
  <c r="B11" i="8"/>
  <c r="AA10" i="8"/>
  <c r="N10" i="8"/>
  <c r="M10" i="8"/>
  <c r="K10" i="8"/>
  <c r="J10" i="8"/>
  <c r="E10" i="8"/>
  <c r="D10" i="8"/>
  <c r="C10" i="8"/>
  <c r="B10" i="8"/>
  <c r="AG9" i="8"/>
  <c r="AA9" i="8"/>
  <c r="O9" i="8"/>
  <c r="M9" i="8"/>
  <c r="L9" i="8"/>
  <c r="K9" i="8"/>
  <c r="J9" i="8"/>
  <c r="E9" i="8"/>
  <c r="D9" i="8"/>
  <c r="C9" i="8"/>
  <c r="AM21" i="8"/>
  <c r="AP21" i="8"/>
  <c r="G35" i="25" l="1"/>
  <c r="S35" i="25"/>
  <c r="O35" i="25"/>
  <c r="T35" i="25"/>
  <c r="V35" i="25"/>
  <c r="N110" i="24"/>
  <c r="B35" i="25"/>
  <c r="AB110" i="24"/>
  <c r="X35" i="25"/>
  <c r="L35" i="25"/>
  <c r="J35" i="25"/>
  <c r="AD110" i="24"/>
  <c r="P35" i="25"/>
  <c r="D35" i="25"/>
  <c r="R35" i="25"/>
</calcChain>
</file>

<file path=xl/sharedStrings.xml><?xml version="1.0" encoding="utf-8"?>
<sst xmlns="http://schemas.openxmlformats.org/spreadsheetml/2006/main" count="3559" uniqueCount="234">
  <si>
    <t>INDICE</t>
  </si>
  <si>
    <t>Cuadro 1.</t>
  </si>
  <si>
    <t>Resumen mensual de 1996 a 2021 sobre Recaudacion Tributaria</t>
  </si>
  <si>
    <t>Cuadro 2.</t>
  </si>
  <si>
    <t>Resumen trimestral de 1996 a 2021 sobre Recaudacion Tributaria</t>
  </si>
  <si>
    <t>Cuadro 3.</t>
  </si>
  <si>
    <t>Resumen anual de 1996 a 2021 sobre Recaudacion Tributaria</t>
  </si>
  <si>
    <t>Cuadro 4.</t>
  </si>
  <si>
    <t>Detalle mensual de 1996 a 2002 sobre Recaudacion Tributaria</t>
  </si>
  <si>
    <t>Cuadro 5.</t>
  </si>
  <si>
    <t>Detalle trimestral de 1996 a 2002 sobre Recaudacion Tributaria</t>
  </si>
  <si>
    <t>Cuadro 6.</t>
  </si>
  <si>
    <t>Detalle anual de 1996 a 2002 sobre Recaudacion Tributaria</t>
  </si>
  <si>
    <t>Cuadro 7.</t>
  </si>
  <si>
    <t>Detalle mensual de 2003 a 2019 sobre Recaudacion Tributaria</t>
  </si>
  <si>
    <t>Cuadro 8.</t>
  </si>
  <si>
    <t>Detalle trimestral de 2003 a 2019 sobre Recaudacion Tributaria</t>
  </si>
  <si>
    <t>Cuadro 9.</t>
  </si>
  <si>
    <t>Detalle anual de 2003 a 2019 sobre Recaudacion Tributaria</t>
  </si>
  <si>
    <t>Cuadro 10.</t>
  </si>
  <si>
    <t>Detalle mensual de 2020 a 2021 sobre Recaudacion Tributaria</t>
  </si>
  <si>
    <t>Cuadro 11.</t>
  </si>
  <si>
    <t>Detalle trimestral de 2020 a 2021 sobre Recaudacion Tributaria</t>
  </si>
  <si>
    <t>Cuadro 12.</t>
  </si>
  <si>
    <t>Detale anual de 2020 a 2021 sobre Recaudacion Tributaria</t>
  </si>
  <si>
    <t>FINANZAS PUBLICAS</t>
  </si>
  <si>
    <t xml:space="preserve">Recaudacion AFIP (mensual) </t>
  </si>
  <si>
    <t>En millones pesos corrientes</t>
  </si>
  <si>
    <t>Fuente:</t>
  </si>
  <si>
    <t>AFIP</t>
  </si>
  <si>
    <t>Volver al indice</t>
  </si>
  <si>
    <t>Periodos</t>
  </si>
  <si>
    <t>Total de rescursos sin Sist. Capitalizacion</t>
  </si>
  <si>
    <t>Impuestos</t>
  </si>
  <si>
    <t>Comercio Exterior</t>
  </si>
  <si>
    <t>Seguridad Social</t>
  </si>
  <si>
    <t>Ganancias</t>
  </si>
  <si>
    <t>IVA</t>
  </si>
  <si>
    <t>Ganancia
Minima
Presunta</t>
  </si>
  <si>
    <t>Cuenta 
Corriente
Ley 25413</t>
  </si>
  <si>
    <t xml:space="preserve">Internos </t>
  </si>
  <si>
    <t>Adicional de emergencia sobre cigarrillos</t>
  </si>
  <si>
    <t>Devoluciones, reintegros y reembolsos (-)</t>
  </si>
  <si>
    <t>Combustibles Totales</t>
  </si>
  <si>
    <t>Bienes
Personales</t>
  </si>
  <si>
    <t>Impuesto
P.A.I.S.</t>
  </si>
  <si>
    <t>Monotributo- Recursos Impositivos</t>
  </si>
  <si>
    <t>Otros 
Impuestos</t>
  </si>
  <si>
    <t>Derecho
Exportacion</t>
  </si>
  <si>
    <t>Derecho Importacion</t>
  </si>
  <si>
    <t>Estadistica de importacion</t>
  </si>
  <si>
    <t>Factos de convergencia neto</t>
  </si>
  <si>
    <t>Tasas Aduaneras</t>
  </si>
  <si>
    <t>Ingresos Brutos</t>
  </si>
  <si>
    <t>Resto</t>
  </si>
  <si>
    <t>Aportes y Contribuciones</t>
  </si>
  <si>
    <t>Obras Sociales</t>
  </si>
  <si>
    <t>Riesgos del Trabajo</t>
  </si>
  <si>
    <t>Monotributo- Recursos Seguridad Social</t>
  </si>
  <si>
    <t>Seguro Colectivo de Vida</t>
  </si>
  <si>
    <t>Facilidades de Pago</t>
  </si>
  <si>
    <t>Ganancias 
DGI</t>
  </si>
  <si>
    <t>Ganancias 
DGA</t>
  </si>
  <si>
    <t>IVA
DGI</t>
  </si>
  <si>
    <t>IVA
DGA</t>
  </si>
  <si>
    <t>Tabaco</t>
  </si>
  <si>
    <t>Devoluciones(-)</t>
  </si>
  <si>
    <t>Reintegros fiscales (-)</t>
  </si>
  <si>
    <t>Reembolsos por venta de bienes de capital(-)</t>
  </si>
  <si>
    <t>-</t>
  </si>
  <si>
    <t>Recaudacion AFIP (trimestral)</t>
  </si>
  <si>
    <t>I-1996</t>
  </si>
  <si>
    <t>II-1996</t>
  </si>
  <si>
    <t>III-1996</t>
  </si>
  <si>
    <t>IV-1996</t>
  </si>
  <si>
    <t>I-1997</t>
  </si>
  <si>
    <t>II-1997</t>
  </si>
  <si>
    <t>III-1997</t>
  </si>
  <si>
    <t>IV-1997</t>
  </si>
  <si>
    <t>I-1998</t>
  </si>
  <si>
    <t>II-1998</t>
  </si>
  <si>
    <t>III-1998</t>
  </si>
  <si>
    <t>IV-1998</t>
  </si>
  <si>
    <t>I-1999</t>
  </si>
  <si>
    <t>II-1999</t>
  </si>
  <si>
    <t>III-1999</t>
  </si>
  <si>
    <t>IV-1999</t>
  </si>
  <si>
    <t>I-2000</t>
  </si>
  <si>
    <t>II-2000</t>
  </si>
  <si>
    <t>III-2000</t>
  </si>
  <si>
    <t>IV-2000</t>
  </si>
  <si>
    <t>I-2001</t>
  </si>
  <si>
    <t>II-2001</t>
  </si>
  <si>
    <t>III-2001</t>
  </si>
  <si>
    <t>IV-2001</t>
  </si>
  <si>
    <t>I-2002</t>
  </si>
  <si>
    <t>II-2002</t>
  </si>
  <si>
    <t>III-2002</t>
  </si>
  <si>
    <t>IV-2002</t>
  </si>
  <si>
    <t>I-2003</t>
  </si>
  <si>
    <t>II-2003</t>
  </si>
  <si>
    <t>III-2003</t>
  </si>
  <si>
    <t>IV-2003</t>
  </si>
  <si>
    <t>I-2004</t>
  </si>
  <si>
    <t>II-2004</t>
  </si>
  <si>
    <t>III-2004</t>
  </si>
  <si>
    <t>IV-2004</t>
  </si>
  <si>
    <t>I-2005</t>
  </si>
  <si>
    <t>II-2005</t>
  </si>
  <si>
    <t>III-2005</t>
  </si>
  <si>
    <t>IV-2005</t>
  </si>
  <si>
    <t>I-2006</t>
  </si>
  <si>
    <t>II-2006</t>
  </si>
  <si>
    <t>III-2006</t>
  </si>
  <si>
    <t>IV-2006</t>
  </si>
  <si>
    <t>I-2007</t>
  </si>
  <si>
    <t>II-2007</t>
  </si>
  <si>
    <t>III-2007</t>
  </si>
  <si>
    <t>IV-2007</t>
  </si>
  <si>
    <t>I-2008</t>
  </si>
  <si>
    <t>II-2008</t>
  </si>
  <si>
    <t>III-2008</t>
  </si>
  <si>
    <t>IV-2008</t>
  </si>
  <si>
    <t>I-2009</t>
  </si>
  <si>
    <t>II-2009</t>
  </si>
  <si>
    <t>III-2009</t>
  </si>
  <si>
    <t>IV-2009</t>
  </si>
  <si>
    <t>I-2010</t>
  </si>
  <si>
    <t>II-2010</t>
  </si>
  <si>
    <t>III-2010</t>
  </si>
  <si>
    <t>IV-2010</t>
  </si>
  <si>
    <t>I-2011</t>
  </si>
  <si>
    <t>II-2011</t>
  </si>
  <si>
    <t>III-2011</t>
  </si>
  <si>
    <t>IV-2011</t>
  </si>
  <si>
    <t>I-2012</t>
  </si>
  <si>
    <t>II-2012</t>
  </si>
  <si>
    <t>III-2012</t>
  </si>
  <si>
    <t>IV-2012</t>
  </si>
  <si>
    <t>I-2013</t>
  </si>
  <si>
    <t>II-2013</t>
  </si>
  <si>
    <t>III-2013</t>
  </si>
  <si>
    <t>IV-2013</t>
  </si>
  <si>
    <t>I-2014</t>
  </si>
  <si>
    <t>II-2014</t>
  </si>
  <si>
    <t>III-2014</t>
  </si>
  <si>
    <t>IV-2014</t>
  </si>
  <si>
    <t>I-2015</t>
  </si>
  <si>
    <t>II-2015</t>
  </si>
  <si>
    <t>III-2015</t>
  </si>
  <si>
    <t>IV-2015</t>
  </si>
  <si>
    <t>I-2016</t>
  </si>
  <si>
    <t>II-2016</t>
  </si>
  <si>
    <t>III-2016</t>
  </si>
  <si>
    <t>IV-2016</t>
  </si>
  <si>
    <t>I-2017</t>
  </si>
  <si>
    <t>II-2017</t>
  </si>
  <si>
    <t>III-2017</t>
  </si>
  <si>
    <t>IV-2017</t>
  </si>
  <si>
    <t>I-2018</t>
  </si>
  <si>
    <t>II-2018</t>
  </si>
  <si>
    <t>III-2018</t>
  </si>
  <si>
    <t>IV-2018</t>
  </si>
  <si>
    <t>I-2019</t>
  </si>
  <si>
    <t>II-2019</t>
  </si>
  <si>
    <t>III-2019</t>
  </si>
  <si>
    <t>IV-2019</t>
  </si>
  <si>
    <t>I-2020</t>
  </si>
  <si>
    <t>II-2020</t>
  </si>
  <si>
    <t>III-2020</t>
  </si>
  <si>
    <t>IV-2020</t>
  </si>
  <si>
    <t>I-2021</t>
  </si>
  <si>
    <t xml:space="preserve">Recaudacion AFIP (anual) </t>
  </si>
  <si>
    <t>Combustibles  Totales</t>
  </si>
  <si>
    <t>Intereses Pagados y Costo Financ. Endeudamiento empresario</t>
  </si>
  <si>
    <t>Emergencia sobre altas rentas</t>
  </si>
  <si>
    <t>Combustibles</t>
  </si>
  <si>
    <t>Automotore,motos, embarcaciones y aeronaves</t>
  </si>
  <si>
    <t>Otras Recaudaciones Aduaneras</t>
  </si>
  <si>
    <t>Seguros</t>
  </si>
  <si>
    <t>Automotores y motores gasoleros</t>
  </si>
  <si>
    <t>Combustibles liquidos</t>
  </si>
  <si>
    <t>GNC y otros combustibles</t>
  </si>
  <si>
    <t>Tasa  gas oil</t>
  </si>
  <si>
    <t>Tasa Infraestructura Hidrica</t>
  </si>
  <si>
    <t>Recargo consumo de gas</t>
  </si>
  <si>
    <t>En millones de pesos corrientes</t>
  </si>
  <si>
    <t>I- 1996</t>
  </si>
  <si>
    <t>III- 1996</t>
  </si>
  <si>
    <t>IV- 1996</t>
  </si>
  <si>
    <t>I- 1997</t>
  </si>
  <si>
    <t>III- 1997</t>
  </si>
  <si>
    <t>IV- 1997</t>
  </si>
  <si>
    <t>I- 1998</t>
  </si>
  <si>
    <t>III- 1998</t>
  </si>
  <si>
    <t>IV- 1998</t>
  </si>
  <si>
    <t>I- 1999</t>
  </si>
  <si>
    <t>III- 1999</t>
  </si>
  <si>
    <t>IV- 1999</t>
  </si>
  <si>
    <t>I- 2000</t>
  </si>
  <si>
    <t>III- 2000</t>
  </si>
  <si>
    <t>IV- 2000</t>
  </si>
  <si>
    <t>I- 2001</t>
  </si>
  <si>
    <t>III- 2001</t>
  </si>
  <si>
    <t>IV- 2001</t>
  </si>
  <si>
    <t>I- 2002</t>
  </si>
  <si>
    <t>III- 2002</t>
  </si>
  <si>
    <t>IV- 2002</t>
  </si>
  <si>
    <t>Recaudacion AFIP (anual)</t>
  </si>
  <si>
    <t>Recaudacion AFIP (mensual)</t>
  </si>
  <si>
    <t>Vover al indice</t>
  </si>
  <si>
    <t>Aportes</t>
  </si>
  <si>
    <t>Contribuciones</t>
  </si>
  <si>
    <t>Monotributo- Recursos de Seguridad social</t>
  </si>
  <si>
    <t>Seguro Colectivo de vida</t>
  </si>
  <si>
    <t>Volver al indeice</t>
  </si>
  <si>
    <t>Combustibles 
Totales</t>
  </si>
  <si>
    <t>I- 20</t>
  </si>
  <si>
    <t>II-20</t>
  </si>
  <si>
    <t>III-20</t>
  </si>
  <si>
    <t>IV-20</t>
  </si>
  <si>
    <t>IV-21</t>
  </si>
  <si>
    <t>IV-22</t>
  </si>
  <si>
    <t>I- 21</t>
  </si>
  <si>
    <t>I- 22</t>
  </si>
  <si>
    <t>I- 23</t>
  </si>
  <si>
    <t>II-21</t>
  </si>
  <si>
    <t>III-21</t>
  </si>
  <si>
    <t>II-22</t>
  </si>
  <si>
    <t>III-22</t>
  </si>
  <si>
    <t>II-23</t>
  </si>
  <si>
    <t>III-23</t>
  </si>
  <si>
    <t>IV- 23</t>
  </si>
  <si>
    <t>I-24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</si>
</sst>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General_)"/>
    <numFmt numFmtId="166" formatCode="#,##0.0_)"/>
    <numFmt numFmtId="167" formatCode="0.0"/>
    <numFmt numFmtId="168" formatCode="#,##0.0"/>
  </numFmts>
  <fonts count="1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ourier"/>
      <family val="3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6"/>
      <color rgb="FF0070C0"/>
      <name val="Calibri"/>
      <family val="2"/>
      <scheme val="minor"/>
    </font>
    <font>
      <sz val="10"/>
      <name val="MS Sans Serif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MS Sans Serif"/>
      <family val="2"/>
    </font>
    <font>
      <sz val="12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165" fontId="2" fillId="0" borderId="0"/>
    <xf numFmtId="0" fontId="5" fillId="0" borderId="0"/>
    <xf numFmtId="0" fontId="9" fillId="0" borderId="0"/>
    <xf numFmtId="164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/>
  </cellStyleXfs>
  <cellXfs count="72">
    <xf numFmtId="0" fontId="0" fillId="0" borderId="0" xfId="0"/>
    <xf numFmtId="0" fontId="3" fillId="0" borderId="0" xfId="0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167" fontId="3" fillId="0" borderId="0" xfId="0" applyNumberFormat="1" applyFont="1" applyAlignment="1">
      <alignment horizontal="center" wrapText="1"/>
    </xf>
    <xf numFmtId="167" fontId="4" fillId="0" borderId="0" xfId="0" applyNumberFormat="1" applyFont="1" applyAlignment="1">
      <alignment horizontal="center" wrapText="1"/>
    </xf>
    <xf numFmtId="166" fontId="3" fillId="0" borderId="0" xfId="1" applyNumberFormat="1" applyFont="1" applyAlignment="1">
      <alignment horizontal="center"/>
    </xf>
    <xf numFmtId="166" fontId="3" fillId="0" borderId="0" xfId="1" quotePrefix="1" applyNumberFormat="1" applyFont="1" applyAlignment="1">
      <alignment horizontal="center"/>
    </xf>
    <xf numFmtId="166" fontId="3" fillId="0" borderId="0" xfId="1" applyNumberFormat="1" applyFont="1" applyAlignment="1">
      <alignment horizontal="center" wrapText="1"/>
    </xf>
    <xf numFmtId="166" fontId="3" fillId="0" borderId="0" xfId="1" applyNumberFormat="1" applyFont="1" applyAlignment="1">
      <alignment horizontal="center" vertical="center" wrapText="1"/>
    </xf>
    <xf numFmtId="167" fontId="4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7" fontId="4" fillId="0" borderId="0" xfId="0" applyNumberFormat="1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7" fillId="0" borderId="0" xfId="0" applyFont="1"/>
    <xf numFmtId="0" fontId="8" fillId="0" borderId="0" xfId="0" applyFont="1"/>
    <xf numFmtId="0" fontId="1" fillId="2" borderId="0" xfId="0" applyFont="1" applyFill="1" applyAlignment="1">
      <alignment vertical="center" wrapText="1"/>
    </xf>
    <xf numFmtId="167" fontId="0" fillId="0" borderId="0" xfId="0" applyNumberFormat="1"/>
    <xf numFmtId="166" fontId="0" fillId="0" borderId="0" xfId="0" applyNumberFormat="1"/>
    <xf numFmtId="168" fontId="0" fillId="0" borderId="0" xfId="0" applyNumberFormat="1"/>
    <xf numFmtId="167" fontId="0" fillId="0" borderId="0" xfId="0" applyNumberFormat="1" applyAlignment="1">
      <alignment horizontal="center"/>
    </xf>
    <xf numFmtId="167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17" fontId="4" fillId="0" borderId="0" xfId="0" applyNumberFormat="1" applyFont="1"/>
    <xf numFmtId="17" fontId="0" fillId="0" borderId="0" xfId="0" applyNumberFormat="1"/>
    <xf numFmtId="0" fontId="1" fillId="2" borderId="0" xfId="0" applyFont="1" applyFill="1" applyAlignment="1">
      <alignment horizontal="center"/>
    </xf>
    <xf numFmtId="167" fontId="10" fillId="0" borderId="0" xfId="3" applyNumberFormat="1" applyFont="1" applyAlignment="1">
      <alignment horizontal="center"/>
    </xf>
    <xf numFmtId="0" fontId="1" fillId="2" borderId="7" xfId="0" applyFont="1" applyFill="1" applyBorder="1"/>
    <xf numFmtId="167" fontId="4" fillId="0" borderId="0" xfId="0" quotePrefix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0" xfId="5"/>
    <xf numFmtId="0" fontId="0" fillId="3" borderId="0" xfId="0" applyFill="1"/>
    <xf numFmtId="0" fontId="11" fillId="3" borderId="0" xfId="5" applyFill="1"/>
    <xf numFmtId="3" fontId="4" fillId="0" borderId="0" xfId="0" applyNumberFormat="1" applyFont="1" applyAlignment="1">
      <alignment horizontal="center"/>
    </xf>
    <xf numFmtId="3" fontId="3" fillId="0" borderId="0" xfId="2" applyNumberFormat="1" applyFont="1" applyAlignment="1">
      <alignment horizontal="center"/>
    </xf>
    <xf numFmtId="3" fontId="3" fillId="0" borderId="0" xfId="3" applyNumberFormat="1" applyFont="1" applyAlignment="1">
      <alignment horizontal="center"/>
    </xf>
    <xf numFmtId="3" fontId="14" fillId="0" borderId="0" xfId="6" applyNumberFormat="1" applyFont="1" applyAlignment="1">
      <alignment horizontal="center" vertical="center"/>
    </xf>
    <xf numFmtId="3" fontId="15" fillId="0" borderId="0" xfId="6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12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3" fontId="15" fillId="0" borderId="0" xfId="6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4" fillId="0" borderId="0" xfId="0" applyNumberFormat="1" applyFont="1"/>
    <xf numFmtId="3" fontId="16" fillId="0" borderId="0" xfId="0" applyNumberFormat="1" applyFont="1"/>
  </cellXfs>
  <cellStyles count="7">
    <cellStyle name="Hipervínculo" xfId="5" builtinId="8"/>
    <cellStyle name="Millares 2" xfId="4" xr:uid="{A0ACAF27-0897-4E5B-8A4E-D330A43D1A79}"/>
    <cellStyle name="Normal" xfId="0" builtinId="0"/>
    <cellStyle name="Normal 2" xfId="2" xr:uid="{FE4007BB-2CFA-40F6-8F36-3936B0AC7A46}"/>
    <cellStyle name="Normal_a6.3" xfId="1" xr:uid="{4E7674B6-C8D1-40B3-B74E-2188BDC3C25D}"/>
    <cellStyle name="Normal_resu-2-com.ext" xfId="3" xr:uid="{ED953073-27F3-47DC-8C74-3ACECE1656A9}"/>
    <cellStyle name="Normal_resu-2-com.ext_recaudacion._recaudacion. 2" xfId="6" xr:uid="{A5FF443B-44BC-40C9-A1ED-CF24A3DE564E}"/>
  </cellStyles>
  <dxfs count="0"/>
  <tableStyles count="0" defaultTableStyle="TableStyleMedium2" defaultPivotStyle="PivotStyleLight16"/>
  <colors>
    <mruColors>
      <color rgb="FFD0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fip.gob.ar/institucional/estudios/serie-anual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fip.gob.ar/institucional/estudios/serie-anual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fip.gob.ar/institucional/estudios/serie-anual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fip.gob.ar/institucional/estudios/serie-anua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fip.gob.ar/institucional/estudios/serie-anual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fip.gob.ar/institucional/estudios/serie-anual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fip.gob.ar/institucional/estudios/serie-anual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fip.gob.ar/institucional/estudios/serie-anual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fip.gob.ar/institucional/estudios/serie-anual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fip.gob.ar/institucional/estudios/serie-anual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fip.gob.ar/institucional/estudios/serie-anual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fip.gob.ar/institucional/estudios/serie-anu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9EDEB-3FD9-464E-A124-450E486325BF}">
  <dimension ref="A1:F14"/>
  <sheetViews>
    <sheetView workbookViewId="0">
      <selection activeCell="B5" sqref="B5"/>
    </sheetView>
  </sheetViews>
  <sheetFormatPr baseColWidth="10" defaultColWidth="11.42578125" defaultRowHeight="15" x14ac:dyDescent="0.25"/>
  <cols>
    <col min="1" max="16384" width="11.42578125" style="36"/>
  </cols>
  <sheetData>
    <row r="1" spans="1:6" ht="26.25" x14ac:dyDescent="0.4">
      <c r="A1" s="45" t="s">
        <v>0</v>
      </c>
      <c r="B1" s="45"/>
      <c r="C1" s="45"/>
      <c r="D1" s="45"/>
      <c r="E1" s="45"/>
      <c r="F1" s="45"/>
    </row>
    <row r="3" spans="1:6" x14ac:dyDescent="0.25">
      <c r="A3" s="37" t="s">
        <v>1</v>
      </c>
      <c r="B3" s="36" t="s">
        <v>2</v>
      </c>
    </row>
    <row r="4" spans="1:6" x14ac:dyDescent="0.25">
      <c r="A4" s="37" t="s">
        <v>3</v>
      </c>
      <c r="B4" s="36" t="s">
        <v>4</v>
      </c>
    </row>
    <row r="5" spans="1:6" x14ac:dyDescent="0.25">
      <c r="A5" s="37" t="s">
        <v>5</v>
      </c>
      <c r="B5" s="36" t="s">
        <v>6</v>
      </c>
    </row>
    <row r="6" spans="1:6" x14ac:dyDescent="0.25">
      <c r="A6" s="37" t="s">
        <v>7</v>
      </c>
      <c r="B6" s="36" t="s">
        <v>8</v>
      </c>
    </row>
    <row r="7" spans="1:6" x14ac:dyDescent="0.25">
      <c r="A7" s="37" t="s">
        <v>9</v>
      </c>
      <c r="B7" s="36" t="s">
        <v>10</v>
      </c>
    </row>
    <row r="8" spans="1:6" x14ac:dyDescent="0.25">
      <c r="A8" s="37" t="s">
        <v>11</v>
      </c>
      <c r="B8" s="36" t="s">
        <v>12</v>
      </c>
    </row>
    <row r="9" spans="1:6" x14ac:dyDescent="0.25">
      <c r="A9" s="37" t="s">
        <v>13</v>
      </c>
      <c r="B9" s="36" t="s">
        <v>14</v>
      </c>
    </row>
    <row r="10" spans="1:6" x14ac:dyDescent="0.25">
      <c r="A10" s="37" t="s">
        <v>15</v>
      </c>
      <c r="B10" s="36" t="s">
        <v>16</v>
      </c>
    </row>
    <row r="11" spans="1:6" x14ac:dyDescent="0.25">
      <c r="A11" s="37" t="s">
        <v>17</v>
      </c>
      <c r="B11" s="36" t="s">
        <v>18</v>
      </c>
    </row>
    <row r="12" spans="1:6" x14ac:dyDescent="0.25">
      <c r="A12" s="37" t="s">
        <v>19</v>
      </c>
      <c r="B12" s="36" t="s">
        <v>20</v>
      </c>
    </row>
    <row r="13" spans="1:6" x14ac:dyDescent="0.25">
      <c r="A13" s="37" t="s">
        <v>21</v>
      </c>
      <c r="B13" s="36" t="s">
        <v>22</v>
      </c>
    </row>
    <row r="14" spans="1:6" x14ac:dyDescent="0.25">
      <c r="A14" s="37" t="s">
        <v>23</v>
      </c>
      <c r="B14" s="36" t="s">
        <v>24</v>
      </c>
    </row>
  </sheetData>
  <mergeCells count="1">
    <mergeCell ref="A1:F1"/>
  </mergeCells>
  <hyperlinks>
    <hyperlink ref="A3" location="'96-21'!A1" display="Cuadro 1." xr:uid="{4349C8DD-F04C-462B-BA5E-7954B2E5F318}"/>
    <hyperlink ref="A4" location="'Cuadro trimestral (96-21)'!A1" display="Cuadro 2." xr:uid="{0552822E-7A74-49EC-90E9-2E7FAA9DAF31}"/>
    <hyperlink ref="A5" location="'Cuadro anual (96-21)'!A1" display="Cuadro 3." xr:uid="{B7BD8075-ECDA-487C-8455-B3A2152F35C8}"/>
    <hyperlink ref="A6" location="'96-02'!A1" display="Cuadro 4." xr:uid="{D196F929-AB8C-4778-A8B4-AAA17A25A961}"/>
    <hyperlink ref="A7" location="'Cuadro trimestral (96-02)'!A1" display="Cuadro 5." xr:uid="{E1A6024C-F9F8-4F62-A7CD-D681DCAF39D9}"/>
    <hyperlink ref="A8" location="'Cuadro anual (96-02)'!A1" display="Cuadro 6." xr:uid="{0215F904-2163-4E12-9691-2794672C5FC7}"/>
    <hyperlink ref="A9" location="'03-19'!A1" display="Cuadro 7." xr:uid="{123BF2BB-6AE5-42DF-8C81-075EFD26B0E6}"/>
    <hyperlink ref="A10" location="'Cuadro trimestral (03-19)'!A1" display="Cuadro 8." xr:uid="{DE67CADA-BB78-442F-83C7-DA21EF365A14}"/>
    <hyperlink ref="A11" location="'Cuadro anual (03-19)'!A1" display="Cuadro 9." xr:uid="{07536A23-D4BB-4824-B4FD-C660CDBDAF84}"/>
    <hyperlink ref="A12" location="'2020-2021'!A1" display="Cuadro 10." xr:uid="{88A22ABD-286F-4DB6-835E-4290ED2C3476}"/>
    <hyperlink ref="A13" location="'Cuadro trimestral (20-21)'!A1" display="Cuadro 11." xr:uid="{67FE6B48-C965-4E16-8DB5-1DC5D2612A74}"/>
    <hyperlink ref="A14" location="'Cuadro anual (20-21)'!A1" display="Cuadro 12." xr:uid="{82180F14-FFA0-469D-B498-15B4011E572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F0C3B-DF75-4570-A4DD-22461A59E82D}">
  <dimension ref="A1:AI27"/>
  <sheetViews>
    <sheetView workbookViewId="0">
      <pane xSplit="1" ySplit="9" topLeftCell="B25" activePane="bottomRight" state="frozen"/>
      <selection pane="topRight" activeCell="B1" sqref="B1"/>
      <selection pane="bottomLeft" activeCell="A8" sqref="A8"/>
      <selection pane="bottomRight" activeCell="E4" sqref="E4"/>
    </sheetView>
  </sheetViews>
  <sheetFormatPr baseColWidth="10" defaultColWidth="11.42578125" defaultRowHeight="15" x14ac:dyDescent="0.25"/>
  <sheetData>
    <row r="1" spans="1:35" ht="23.25" x14ac:dyDescent="0.35">
      <c r="A1" s="17" t="s">
        <v>25</v>
      </c>
    </row>
    <row r="2" spans="1:35" ht="21" x14ac:dyDescent="0.35">
      <c r="A2" s="18" t="s">
        <v>208</v>
      </c>
    </row>
    <row r="3" spans="1:35" x14ac:dyDescent="0.25">
      <c r="A3" t="s">
        <v>186</v>
      </c>
    </row>
    <row r="4" spans="1:35" x14ac:dyDescent="0.25">
      <c r="A4" t="s">
        <v>28</v>
      </c>
      <c r="B4" s="35" t="s">
        <v>29</v>
      </c>
      <c r="E4" s="35" t="s">
        <v>210</v>
      </c>
    </row>
    <row r="6" spans="1:35" ht="15.75" x14ac:dyDescent="0.25">
      <c r="A6" s="52" t="s">
        <v>31</v>
      </c>
      <c r="B6" s="53" t="s">
        <v>32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</row>
    <row r="7" spans="1:35" ht="15.75" x14ac:dyDescent="0.25">
      <c r="A7" s="52"/>
      <c r="B7" s="56" t="s">
        <v>33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5" t="s">
        <v>34</v>
      </c>
      <c r="W7" s="56"/>
      <c r="X7" s="56"/>
      <c r="Y7" s="56"/>
      <c r="Z7" s="56"/>
      <c r="AA7" s="56"/>
      <c r="AB7" s="57"/>
      <c r="AC7" s="58" t="s">
        <v>35</v>
      </c>
      <c r="AD7" s="59"/>
      <c r="AE7" s="59"/>
      <c r="AF7" s="59"/>
      <c r="AG7" s="59"/>
      <c r="AH7" s="59"/>
      <c r="AI7" s="59"/>
    </row>
    <row r="8" spans="1:35" ht="15.75" x14ac:dyDescent="0.25">
      <c r="A8" s="52"/>
      <c r="B8" s="56" t="s">
        <v>36</v>
      </c>
      <c r="C8" s="57"/>
      <c r="D8" s="55" t="s">
        <v>37</v>
      </c>
      <c r="E8" s="56"/>
      <c r="F8" s="46" t="s">
        <v>38</v>
      </c>
      <c r="G8" s="46" t="s">
        <v>39</v>
      </c>
      <c r="H8" s="60" t="s">
        <v>40</v>
      </c>
      <c r="I8" s="60"/>
      <c r="J8" s="46" t="s">
        <v>41</v>
      </c>
      <c r="K8" s="60" t="s">
        <v>42</v>
      </c>
      <c r="L8" s="60"/>
      <c r="M8" s="62" t="s">
        <v>176</v>
      </c>
      <c r="N8" s="60"/>
      <c r="O8" s="60"/>
      <c r="P8" s="60"/>
      <c r="Q8" s="60"/>
      <c r="R8" s="46" t="s">
        <v>44</v>
      </c>
      <c r="S8" s="46" t="s">
        <v>45</v>
      </c>
      <c r="T8" s="46" t="s">
        <v>46</v>
      </c>
      <c r="U8" s="46" t="s">
        <v>47</v>
      </c>
      <c r="V8" s="51" t="s">
        <v>48</v>
      </c>
      <c r="W8" s="46" t="s">
        <v>49</v>
      </c>
      <c r="X8" s="46" t="s">
        <v>50</v>
      </c>
      <c r="Y8" s="46" t="s">
        <v>51</v>
      </c>
      <c r="Z8" s="46" t="s">
        <v>52</v>
      </c>
      <c r="AA8" s="46" t="s">
        <v>53</v>
      </c>
      <c r="AB8" s="46" t="s">
        <v>54</v>
      </c>
      <c r="AC8" s="46" t="s">
        <v>211</v>
      </c>
      <c r="AD8" s="46" t="s">
        <v>212</v>
      </c>
      <c r="AE8" s="46" t="s">
        <v>56</v>
      </c>
      <c r="AF8" s="46" t="s">
        <v>57</v>
      </c>
      <c r="AG8" s="46" t="s">
        <v>213</v>
      </c>
      <c r="AH8" s="46" t="s">
        <v>214</v>
      </c>
      <c r="AI8" s="46" t="s">
        <v>60</v>
      </c>
    </row>
    <row r="9" spans="1:35" ht="63" x14ac:dyDescent="0.25">
      <c r="A9" s="52"/>
      <c r="B9" s="11" t="s">
        <v>61</v>
      </c>
      <c r="C9" s="12" t="s">
        <v>62</v>
      </c>
      <c r="D9" s="11" t="s">
        <v>63</v>
      </c>
      <c r="E9" s="11" t="s">
        <v>64</v>
      </c>
      <c r="F9" s="47"/>
      <c r="G9" s="47"/>
      <c r="H9" s="11" t="s">
        <v>65</v>
      </c>
      <c r="I9" s="11" t="s">
        <v>54</v>
      </c>
      <c r="J9" s="47"/>
      <c r="K9" s="11" t="s">
        <v>66</v>
      </c>
      <c r="L9" s="11" t="s">
        <v>67</v>
      </c>
      <c r="M9" s="14" t="s">
        <v>181</v>
      </c>
      <c r="N9" s="11" t="s">
        <v>182</v>
      </c>
      <c r="O9" s="11" t="s">
        <v>183</v>
      </c>
      <c r="P9" s="11" t="s">
        <v>184</v>
      </c>
      <c r="Q9" s="11" t="s">
        <v>185</v>
      </c>
      <c r="R9" s="47"/>
      <c r="S9" s="47"/>
      <c r="T9" s="47"/>
      <c r="U9" s="47"/>
      <c r="V9" s="51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</row>
    <row r="10" spans="1:35" x14ac:dyDescent="0.25">
      <c r="A10">
        <v>2003</v>
      </c>
      <c r="B10" s="20">
        <v>14204.626450579999</v>
      </c>
      <c r="C10" s="20">
        <v>546.11017006999998</v>
      </c>
      <c r="D10" s="20">
        <v>16633.539293340003</v>
      </c>
      <c r="E10" s="20">
        <v>8654.1366490599994</v>
      </c>
      <c r="F10" s="20">
        <v>1362.7687761999998</v>
      </c>
      <c r="G10" s="20">
        <v>5900.2186368099992</v>
      </c>
      <c r="H10" s="20">
        <v>1770.14975413</v>
      </c>
      <c r="I10" s="20">
        <v>461.88220321</v>
      </c>
      <c r="J10" s="20">
        <v>256.30473254000003</v>
      </c>
      <c r="K10" s="20">
        <v>4340.1031684999998</v>
      </c>
      <c r="L10" s="20">
        <v>1367.2067902899998</v>
      </c>
      <c r="M10" s="20">
        <v>1609.1079043</v>
      </c>
      <c r="N10" s="20">
        <v>1528.7811664800001</v>
      </c>
      <c r="O10" s="20">
        <v>1392.67797554</v>
      </c>
      <c r="P10" s="20">
        <v>295.86060359999999</v>
      </c>
      <c r="Q10" s="20">
        <v>146.74898770999999</v>
      </c>
      <c r="R10" s="20">
        <v>1602.7865885399999</v>
      </c>
      <c r="S10" s="20" t="s">
        <v>69</v>
      </c>
      <c r="T10" s="20">
        <v>282.74138338</v>
      </c>
      <c r="U10" s="20">
        <v>375.81384086999998</v>
      </c>
      <c r="V10" s="20">
        <v>9211.8982657699999</v>
      </c>
      <c r="W10" s="20">
        <v>2228.2097802000003</v>
      </c>
      <c r="X10" s="20">
        <v>60.459981039999995</v>
      </c>
      <c r="Y10" s="20">
        <v>-195.73911641000001</v>
      </c>
      <c r="Z10" s="20">
        <v>2.4502245</v>
      </c>
      <c r="AA10" s="20" t="s">
        <v>69</v>
      </c>
      <c r="AB10" s="20">
        <v>71.085845190000015</v>
      </c>
      <c r="AC10" s="20">
        <v>4692.3379786200003</v>
      </c>
      <c r="AD10" s="20">
        <v>7633.5827825400002</v>
      </c>
      <c r="AE10" s="20">
        <v>3129.4495177899998</v>
      </c>
      <c r="AF10" s="20">
        <v>875.68667231000006</v>
      </c>
      <c r="AG10" s="20">
        <v>294.66711263999997</v>
      </c>
      <c r="AH10" s="20" t="s">
        <v>69</v>
      </c>
      <c r="AI10" s="20">
        <v>-1.3181260600000013</v>
      </c>
    </row>
    <row r="11" spans="1:35" x14ac:dyDescent="0.25">
      <c r="A11">
        <v>2004</v>
      </c>
      <c r="B11" s="20">
        <v>21402.01793224</v>
      </c>
      <c r="C11" s="20">
        <v>887.1033556299999</v>
      </c>
      <c r="D11" s="20">
        <v>20267.688300810001</v>
      </c>
      <c r="E11" s="20">
        <v>12979.379108249999</v>
      </c>
      <c r="F11" s="20">
        <v>1223.71026721</v>
      </c>
      <c r="G11" s="20">
        <v>7681.91874551</v>
      </c>
      <c r="H11" s="20">
        <v>2296.6455281799999</v>
      </c>
      <c r="I11" s="20">
        <v>743.97139624999988</v>
      </c>
      <c r="J11" s="20">
        <v>343.39986403</v>
      </c>
      <c r="K11" s="20">
        <v>2270.37822719</v>
      </c>
      <c r="L11" s="20">
        <v>1564</v>
      </c>
      <c r="M11" s="20">
        <v>1652.6587801100002</v>
      </c>
      <c r="N11" s="20">
        <v>1677.5365471099999</v>
      </c>
      <c r="O11" s="20">
        <v>1565.80627426</v>
      </c>
      <c r="P11" s="20">
        <v>327.28231998000001</v>
      </c>
      <c r="Q11" s="20">
        <v>155.23122131</v>
      </c>
      <c r="R11" s="20">
        <v>1660.9212416500002</v>
      </c>
      <c r="S11" s="20" t="s">
        <v>69</v>
      </c>
      <c r="T11" s="20">
        <v>499.37655455999999</v>
      </c>
      <c r="U11" s="20">
        <v>415.73676995999995</v>
      </c>
      <c r="V11" s="20">
        <v>10271.98497546</v>
      </c>
      <c r="W11" s="20">
        <v>3168.3700998900003</v>
      </c>
      <c r="X11" s="20">
        <v>82.083347740000008</v>
      </c>
      <c r="Y11" s="20">
        <v>11.090155390000001</v>
      </c>
      <c r="Z11" s="20">
        <v>3.6137729999999997</v>
      </c>
      <c r="AA11" s="20" t="s">
        <v>69</v>
      </c>
      <c r="AB11" s="20">
        <v>439.57817941999997</v>
      </c>
      <c r="AC11" s="20">
        <v>6375.0422074700018</v>
      </c>
      <c r="AD11" s="20">
        <v>10166.890183289999</v>
      </c>
      <c r="AE11" s="20">
        <v>3932.2090911300002</v>
      </c>
      <c r="AF11" s="20">
        <v>1259.93363843</v>
      </c>
      <c r="AG11" s="20">
        <v>455.98315502999992</v>
      </c>
      <c r="AH11" s="20" t="s">
        <v>69</v>
      </c>
      <c r="AI11" s="20">
        <v>188.33947537</v>
      </c>
    </row>
    <row r="12" spans="1:35" x14ac:dyDescent="0.25">
      <c r="A12">
        <v>2005</v>
      </c>
      <c r="B12" s="20">
        <v>26902.321398849999</v>
      </c>
      <c r="C12" s="20">
        <v>1142.95556414</v>
      </c>
      <c r="D12" s="20">
        <v>23542.649784109999</v>
      </c>
      <c r="E12" s="20">
        <v>16112.42076375</v>
      </c>
      <c r="F12" s="20">
        <v>1102.2036453999999</v>
      </c>
      <c r="G12" s="20">
        <v>9434.22975778</v>
      </c>
      <c r="H12" s="20">
        <v>2699.8613082699999</v>
      </c>
      <c r="I12" s="20">
        <v>965.73561630999984</v>
      </c>
      <c r="J12" s="20">
        <v>392.08601099999998</v>
      </c>
      <c r="K12" s="20">
        <v>2801.6664558899997</v>
      </c>
      <c r="L12" s="20">
        <v>1885</v>
      </c>
      <c r="M12" s="20">
        <v>1769.0364351299997</v>
      </c>
      <c r="N12" s="20">
        <v>1911.6490683800002</v>
      </c>
      <c r="O12" s="20">
        <v>1834.55157517</v>
      </c>
      <c r="P12" s="20">
        <v>341.36918583999994</v>
      </c>
      <c r="Q12" s="20">
        <v>160.77251993000002</v>
      </c>
      <c r="R12" s="20">
        <v>1812.6725335000001</v>
      </c>
      <c r="S12" s="20" t="s">
        <v>69</v>
      </c>
      <c r="T12" s="20">
        <v>756.9220942500001</v>
      </c>
      <c r="U12" s="20">
        <v>509.34599118999876</v>
      </c>
      <c r="V12" s="20">
        <v>12322.482168220002</v>
      </c>
      <c r="W12" s="20">
        <v>3780.3383724800005</v>
      </c>
      <c r="X12" s="20">
        <v>96.224954420000003</v>
      </c>
      <c r="Y12" s="20">
        <v>-8.8943514599999993</v>
      </c>
      <c r="Z12" s="20">
        <v>3.9436138499999998</v>
      </c>
      <c r="AA12" s="20" t="s">
        <v>69</v>
      </c>
      <c r="AB12" s="20">
        <v>554.74948438000001</v>
      </c>
      <c r="AC12" s="20">
        <v>8003.7256166999996</v>
      </c>
      <c r="AD12" s="20">
        <v>13348.504862200001</v>
      </c>
      <c r="AE12" s="20">
        <v>4792.3090107599992</v>
      </c>
      <c r="AF12" s="20">
        <v>1724.2371450400001</v>
      </c>
      <c r="AG12" s="20">
        <v>591.57231328000012</v>
      </c>
      <c r="AH12" s="20" t="s">
        <v>69</v>
      </c>
      <c r="AI12" s="20">
        <v>111.41513829000002</v>
      </c>
    </row>
    <row r="13" spans="1:35" x14ac:dyDescent="0.25">
      <c r="A13">
        <v>2006</v>
      </c>
      <c r="B13" s="20">
        <v>32126.870999230003</v>
      </c>
      <c r="C13" s="20">
        <v>1488.1998974399999</v>
      </c>
      <c r="D13" s="20">
        <v>30075.031902889998</v>
      </c>
      <c r="E13" s="20">
        <v>20292.33208185</v>
      </c>
      <c r="F13" s="20">
        <v>1084.0081531000001</v>
      </c>
      <c r="G13" s="20">
        <v>11685.740393970002</v>
      </c>
      <c r="H13" s="20">
        <v>2717.3358476100002</v>
      </c>
      <c r="I13" s="20">
        <v>1383.03851564</v>
      </c>
      <c r="J13" s="20">
        <v>398.24352608999999</v>
      </c>
      <c r="K13" s="20">
        <v>3263.2070840900001</v>
      </c>
      <c r="L13" s="20">
        <v>1965</v>
      </c>
      <c r="M13" s="20">
        <v>2051.79314905</v>
      </c>
      <c r="N13" s="20">
        <v>2007.0473776399999</v>
      </c>
      <c r="O13" s="20">
        <v>1980.4664488600004</v>
      </c>
      <c r="P13" s="20">
        <v>368.01146151999995</v>
      </c>
      <c r="Q13" s="20">
        <v>165.30739075999998</v>
      </c>
      <c r="R13" s="20">
        <v>2076.7516734199999</v>
      </c>
      <c r="S13" s="20" t="s">
        <v>69</v>
      </c>
      <c r="T13" s="20">
        <v>868.74571851999985</v>
      </c>
      <c r="U13" s="20">
        <v>580.66056648999995</v>
      </c>
      <c r="V13" s="20">
        <v>14711.67878681</v>
      </c>
      <c r="W13" s="20">
        <v>5018.5653025400006</v>
      </c>
      <c r="X13" s="20">
        <v>120.43143107</v>
      </c>
      <c r="Y13" s="20">
        <v>-9.8044659200000002</v>
      </c>
      <c r="Z13" s="20">
        <v>4.5290457200000001</v>
      </c>
      <c r="AA13" s="20" t="s">
        <v>69</v>
      </c>
      <c r="AB13" s="20">
        <v>821.72318560000008</v>
      </c>
      <c r="AC13" s="20">
        <v>10730.81267257</v>
      </c>
      <c r="AD13" s="20">
        <v>19646.073081640003</v>
      </c>
      <c r="AE13" s="20">
        <v>6314.1410184400002</v>
      </c>
      <c r="AF13" s="20">
        <v>2647.1164116899999</v>
      </c>
      <c r="AG13" s="20">
        <v>661.50124004999998</v>
      </c>
      <c r="AH13" s="20" t="s">
        <v>69</v>
      </c>
      <c r="AI13" s="20">
        <v>529.10000450000007</v>
      </c>
    </row>
    <row r="14" spans="1:35" x14ac:dyDescent="0.25">
      <c r="A14">
        <v>2007</v>
      </c>
      <c r="B14" s="20">
        <v>40588.047524630005</v>
      </c>
      <c r="C14" s="20">
        <v>2266.8426973200003</v>
      </c>
      <c r="D14" s="20">
        <v>39260.199622669992</v>
      </c>
      <c r="E14" s="20">
        <v>27398.782376620005</v>
      </c>
      <c r="F14" s="20">
        <v>1298.9608807899999</v>
      </c>
      <c r="G14" s="20">
        <v>15064.94053428</v>
      </c>
      <c r="H14" s="20">
        <v>3021.3252702700001</v>
      </c>
      <c r="I14" s="20">
        <v>1717.43119043</v>
      </c>
      <c r="J14" s="20">
        <v>447.07521997000003</v>
      </c>
      <c r="K14" s="20">
        <v>3989.73148864</v>
      </c>
      <c r="L14" s="20">
        <v>1912.5</v>
      </c>
      <c r="M14" s="20">
        <v>2537.7632383099999</v>
      </c>
      <c r="N14" s="20">
        <v>2171.38971412</v>
      </c>
      <c r="O14" s="20">
        <v>2200.4749563</v>
      </c>
      <c r="P14" s="20">
        <v>387.68724104</v>
      </c>
      <c r="Q14" s="20">
        <v>168.36082090000002</v>
      </c>
      <c r="R14" s="20">
        <v>2491.8821810200006</v>
      </c>
      <c r="S14" s="20" t="s">
        <v>69</v>
      </c>
      <c r="T14" s="20">
        <v>1063.32764888</v>
      </c>
      <c r="U14" s="20">
        <v>877.45455646999994</v>
      </c>
      <c r="V14" s="20">
        <v>20449.741568549998</v>
      </c>
      <c r="W14" s="20">
        <v>6859.20946241</v>
      </c>
      <c r="X14" s="20">
        <v>156.08207576999996</v>
      </c>
      <c r="Y14" s="20">
        <v>3.1433570099999999</v>
      </c>
      <c r="Z14" s="20">
        <v>8.7555607200000001</v>
      </c>
      <c r="AA14" s="20" t="s">
        <v>69</v>
      </c>
      <c r="AB14" s="20">
        <v>1319.2375428099997</v>
      </c>
      <c r="AC14" s="20">
        <v>14322.633126069999</v>
      </c>
      <c r="AD14" s="20">
        <v>29249.911348729998</v>
      </c>
      <c r="AE14" s="20">
        <v>8266.2475025200001</v>
      </c>
      <c r="AF14" s="20">
        <v>3498.4741570899996</v>
      </c>
      <c r="AG14" s="20">
        <v>750.2289323199999</v>
      </c>
      <c r="AH14" s="20" t="s">
        <v>69</v>
      </c>
      <c r="AI14" s="20">
        <v>37.515688290000043</v>
      </c>
    </row>
    <row r="15" spans="1:35" x14ac:dyDescent="0.25">
      <c r="A15">
        <v>2008</v>
      </c>
      <c r="B15" s="20">
        <v>50456.887517380004</v>
      </c>
      <c r="C15" s="20">
        <v>3189.1428207600006</v>
      </c>
      <c r="D15" s="20">
        <v>50392.924666500003</v>
      </c>
      <c r="E15" s="20">
        <v>35721.998990890002</v>
      </c>
      <c r="F15" s="20">
        <v>987.75944451999999</v>
      </c>
      <c r="G15" s="20">
        <v>19495.151650120002</v>
      </c>
      <c r="H15" s="20">
        <v>3641.2669340500001</v>
      </c>
      <c r="I15" s="20">
        <v>1989.28470272</v>
      </c>
      <c r="J15" s="20">
        <v>555.09817587999999</v>
      </c>
      <c r="K15" s="20">
        <v>5886.1052435399997</v>
      </c>
      <c r="L15" s="20">
        <v>2894</v>
      </c>
      <c r="M15" s="20">
        <v>3609.7022324100003</v>
      </c>
      <c r="N15" s="20">
        <v>2511.8846083899998</v>
      </c>
      <c r="O15" s="20">
        <v>2926.8291265199996</v>
      </c>
      <c r="P15" s="20">
        <v>464.29795425999998</v>
      </c>
      <c r="Q15" s="20">
        <v>181.13636367000004</v>
      </c>
      <c r="R15" s="20">
        <v>3374.9713874000008</v>
      </c>
      <c r="S15" s="20" t="s">
        <v>69</v>
      </c>
      <c r="T15" s="20">
        <v>1354.7091222299998</v>
      </c>
      <c r="U15" s="20">
        <v>1003.1543385899998</v>
      </c>
      <c r="V15" s="20">
        <v>36055.248180549999</v>
      </c>
      <c r="W15" s="20">
        <v>8803.2710137800004</v>
      </c>
      <c r="X15" s="20">
        <v>184.63652037000003</v>
      </c>
      <c r="Y15" s="20">
        <v>-1.5240800299999999</v>
      </c>
      <c r="Z15" s="20">
        <v>7.8431642799999981</v>
      </c>
      <c r="AA15" s="20" t="s">
        <v>69</v>
      </c>
      <c r="AB15" s="20">
        <v>1693.9225557300001</v>
      </c>
      <c r="AC15" s="20">
        <v>23242.58251733</v>
      </c>
      <c r="AD15" s="20">
        <v>39003.152458899996</v>
      </c>
      <c r="AE15" s="20">
        <v>11066.676708610003</v>
      </c>
      <c r="AF15" s="20">
        <v>4678.5972055299999</v>
      </c>
      <c r="AG15" s="20">
        <v>1014.4164839699998</v>
      </c>
      <c r="AH15" s="20" t="s">
        <v>69</v>
      </c>
      <c r="AI15" s="20">
        <v>236.37649539999853</v>
      </c>
    </row>
    <row r="16" spans="1:35" x14ac:dyDescent="0.25">
      <c r="A16">
        <v>2009</v>
      </c>
      <c r="B16" s="20">
        <v>53178.119484739997</v>
      </c>
      <c r="C16" s="20">
        <v>2374.2219320999998</v>
      </c>
      <c r="D16" s="20">
        <v>61393.71656565</v>
      </c>
      <c r="E16" s="20">
        <v>29723.08045415</v>
      </c>
      <c r="F16" s="20">
        <v>1212.72793424</v>
      </c>
      <c r="G16" s="20">
        <v>20561.486821600003</v>
      </c>
      <c r="H16" s="20">
        <v>4323.3146251400003</v>
      </c>
      <c r="I16" s="20">
        <v>2413.9185331899998</v>
      </c>
      <c r="J16" s="20">
        <v>658.38496875999988</v>
      </c>
      <c r="K16" s="20">
        <v>3731</v>
      </c>
      <c r="L16" s="20">
        <v>2451</v>
      </c>
      <c r="M16" s="20">
        <v>4553.6281462699999</v>
      </c>
      <c r="N16" s="20">
        <v>2850.1882964300003</v>
      </c>
      <c r="O16" s="20">
        <v>3470.0472293000003</v>
      </c>
      <c r="P16" s="20">
        <v>537.67961464999996</v>
      </c>
      <c r="Q16" s="20">
        <v>181.73588735000001</v>
      </c>
      <c r="R16" s="20">
        <v>4041.1057688400001</v>
      </c>
      <c r="S16" s="20" t="s">
        <v>69</v>
      </c>
      <c r="T16" s="20">
        <v>1549.84476187</v>
      </c>
      <c r="U16" s="20">
        <v>1828.8431293899998</v>
      </c>
      <c r="V16" s="20">
        <v>32041.529789710003</v>
      </c>
      <c r="W16" s="20">
        <v>7525.6373231000007</v>
      </c>
      <c r="X16" s="20">
        <v>174.15090641</v>
      </c>
      <c r="Y16" s="20">
        <v>8.0459310000000006E-2</v>
      </c>
      <c r="Z16" s="20">
        <v>5.4592179700000001</v>
      </c>
      <c r="AA16" s="20">
        <v>1335.3676552699999</v>
      </c>
      <c r="AB16" s="20">
        <v>118.32748441000007</v>
      </c>
      <c r="AC16" s="20">
        <v>28779.023695940003</v>
      </c>
      <c r="AD16" s="20">
        <v>47498.201420860001</v>
      </c>
      <c r="AE16" s="20">
        <v>15193.205216369999</v>
      </c>
      <c r="AF16" s="20">
        <v>5657.7705247100002</v>
      </c>
      <c r="AG16" s="20">
        <v>1285.85561138</v>
      </c>
      <c r="AH16" s="20" t="s">
        <v>69</v>
      </c>
      <c r="AI16" s="20">
        <v>900.99682347999942</v>
      </c>
    </row>
    <row r="17" spans="1:35" x14ac:dyDescent="0.25">
      <c r="A17">
        <v>2010</v>
      </c>
      <c r="B17" s="20">
        <v>72974.680610940006</v>
      </c>
      <c r="C17" s="20">
        <v>3676.9450706499993</v>
      </c>
      <c r="D17" s="20">
        <v>76711.072238749999</v>
      </c>
      <c r="E17" s="20">
        <v>43339.914923460005</v>
      </c>
      <c r="F17" s="20">
        <v>1647.8232645200001</v>
      </c>
      <c r="G17" s="20">
        <v>26884.733150659995</v>
      </c>
      <c r="H17" s="20">
        <v>5081.4225938900008</v>
      </c>
      <c r="I17" s="20">
        <v>4420.5785431900003</v>
      </c>
      <c r="J17" s="20">
        <v>786.00013500000011</v>
      </c>
      <c r="K17" s="20">
        <v>3665</v>
      </c>
      <c r="L17" s="20">
        <v>3056</v>
      </c>
      <c r="M17" s="20">
        <v>6360.0740837199992</v>
      </c>
      <c r="N17" s="20">
        <v>3640.2252740699996</v>
      </c>
      <c r="O17" s="20">
        <v>4431.2700449300009</v>
      </c>
      <c r="P17" s="20">
        <v>671.90837238000006</v>
      </c>
      <c r="Q17" s="20">
        <v>165.53065588000001</v>
      </c>
      <c r="R17" s="20">
        <v>5146.7917234999986</v>
      </c>
      <c r="S17" s="20" t="s">
        <v>69</v>
      </c>
      <c r="T17" s="20">
        <v>2092.5527004299997</v>
      </c>
      <c r="U17" s="20">
        <v>1368.9454434099998</v>
      </c>
      <c r="V17" s="20">
        <v>45547.352451030005</v>
      </c>
      <c r="W17" s="20">
        <v>11182.62680939</v>
      </c>
      <c r="X17" s="20">
        <v>245.68591599000001</v>
      </c>
      <c r="Y17" s="20">
        <v>-1.0374283500000001</v>
      </c>
      <c r="Z17" s="20">
        <v>7.4077251499999992</v>
      </c>
      <c r="AA17" s="20">
        <v>2088.9166440600002</v>
      </c>
      <c r="AB17" s="20">
        <v>162.91047699999999</v>
      </c>
      <c r="AC17" s="20">
        <v>37603.182107119996</v>
      </c>
      <c r="AD17" s="20">
        <v>61672.790978040008</v>
      </c>
      <c r="AE17" s="20">
        <v>19609.98449898</v>
      </c>
      <c r="AF17" s="20">
        <v>8657.0658823400008</v>
      </c>
      <c r="AG17" s="20">
        <v>2669.9324859400003</v>
      </c>
      <c r="AH17" s="20">
        <v>2.3880094700000001</v>
      </c>
      <c r="AI17" s="20">
        <v>290.61401102999804</v>
      </c>
    </row>
    <row r="18" spans="1:35" x14ac:dyDescent="0.25">
      <c r="A18">
        <v>2011</v>
      </c>
      <c r="B18" s="20">
        <v>103139.96081784002</v>
      </c>
      <c r="C18" s="20">
        <v>5457.9204481800007</v>
      </c>
      <c r="D18" s="20">
        <v>100402.30582171999</v>
      </c>
      <c r="E18" s="20">
        <v>57663.584456600001</v>
      </c>
      <c r="F18" s="20">
        <v>1356.94257973</v>
      </c>
      <c r="G18" s="20">
        <v>36179.501435959995</v>
      </c>
      <c r="H18" s="20">
        <v>6282.6665888999996</v>
      </c>
      <c r="I18" s="20">
        <v>4673.6295786300007</v>
      </c>
      <c r="J18" s="20">
        <v>1026.2671377499998</v>
      </c>
      <c r="K18" s="20">
        <v>3829</v>
      </c>
      <c r="L18" s="20">
        <v>4690</v>
      </c>
      <c r="M18" s="20">
        <v>8062.3845836199971</v>
      </c>
      <c r="N18" s="20">
        <v>4027.48764656</v>
      </c>
      <c r="O18" s="20">
        <v>4984.6828433800001</v>
      </c>
      <c r="P18" s="20">
        <v>884.96406895999996</v>
      </c>
      <c r="Q18" s="20">
        <v>171.95814168999999</v>
      </c>
      <c r="R18" s="20">
        <v>5891.9785779699996</v>
      </c>
      <c r="S18" s="20" t="s">
        <v>69</v>
      </c>
      <c r="T18" s="20">
        <v>2983.0367903399997</v>
      </c>
      <c r="U18" s="20">
        <v>1849.6675997899999</v>
      </c>
      <c r="V18" s="20">
        <v>54163.331559400001</v>
      </c>
      <c r="W18" s="20">
        <v>14372.573220620001</v>
      </c>
      <c r="X18" s="20">
        <v>304.93657260000003</v>
      </c>
      <c r="Y18" s="20">
        <v>-0.42490894000000001</v>
      </c>
      <c r="Z18" s="20">
        <v>8.303686729999999</v>
      </c>
      <c r="AA18" s="20">
        <v>2886.8570189900001</v>
      </c>
      <c r="AB18" s="20">
        <v>238.75275011000002</v>
      </c>
      <c r="AC18" s="20">
        <v>51467.442011339997</v>
      </c>
      <c r="AD18" s="20">
        <v>82344.105753420023</v>
      </c>
      <c r="AE18" s="20">
        <v>27007.656630429999</v>
      </c>
      <c r="AF18" s="20">
        <v>12337.517143839999</v>
      </c>
      <c r="AG18" s="20">
        <v>3097.3698067099999</v>
      </c>
      <c r="AH18" s="20">
        <v>140.42223453999998</v>
      </c>
      <c r="AI18" s="20">
        <v>709.62549137999918</v>
      </c>
    </row>
    <row r="19" spans="1:35" x14ac:dyDescent="0.25">
      <c r="A19">
        <v>2012</v>
      </c>
      <c r="B19" s="20">
        <v>131597.66784292998</v>
      </c>
      <c r="C19" s="20">
        <v>6841.9724563999998</v>
      </c>
      <c r="D19" s="20">
        <v>133816.32653745997</v>
      </c>
      <c r="E19" s="20">
        <v>59250.923588539998</v>
      </c>
      <c r="F19" s="20">
        <v>1443.0145270400001</v>
      </c>
      <c r="G19" s="20">
        <v>43931.146631040006</v>
      </c>
      <c r="H19" s="20">
        <v>7512.5410809000014</v>
      </c>
      <c r="I19" s="20">
        <v>5519.7131493700008</v>
      </c>
      <c r="J19" s="20">
        <v>1197.0351701500001</v>
      </c>
      <c r="K19" s="20">
        <v>2570.8230000000003</v>
      </c>
      <c r="L19" s="20">
        <v>1987</v>
      </c>
      <c r="M19" s="20">
        <v>11349.565968179999</v>
      </c>
      <c r="N19" s="20">
        <v>5790.0303648800009</v>
      </c>
      <c r="O19" s="20">
        <v>7310.028286499999</v>
      </c>
      <c r="P19" s="20">
        <v>1147.4292853699999</v>
      </c>
      <c r="Q19" s="20">
        <v>188.35290941999997</v>
      </c>
      <c r="R19" s="20">
        <v>7262.7468097599995</v>
      </c>
      <c r="S19" s="20" t="s">
        <v>69</v>
      </c>
      <c r="T19" s="20">
        <v>3825.1074822700002</v>
      </c>
      <c r="U19" s="20">
        <v>2130.0128027399996</v>
      </c>
      <c r="V19" s="20">
        <v>61315.851289930004</v>
      </c>
      <c r="W19" s="20">
        <v>16312.606119490001</v>
      </c>
      <c r="X19" s="20">
        <v>327.39182287</v>
      </c>
      <c r="Y19" s="20">
        <v>-0.2546652000000002</v>
      </c>
      <c r="Z19" s="20">
        <v>9.7600193200000014</v>
      </c>
      <c r="AA19" s="20">
        <v>3098.3040817200003</v>
      </c>
      <c r="AB19" s="20">
        <v>347.97319660999995</v>
      </c>
      <c r="AC19" s="20">
        <v>69543.686481099998</v>
      </c>
      <c r="AD19" s="20">
        <v>105711.27925289002</v>
      </c>
      <c r="AE19" s="20">
        <v>36001.01188523</v>
      </c>
      <c r="AF19" s="20">
        <v>16225.889086019999</v>
      </c>
      <c r="AG19" s="20">
        <v>3957.0576825199996</v>
      </c>
      <c r="AH19" s="20">
        <v>201.08387486000001</v>
      </c>
      <c r="AI19" s="20">
        <v>933.65910418000215</v>
      </c>
    </row>
    <row r="20" spans="1:35" x14ac:dyDescent="0.25">
      <c r="A20">
        <v>2013</v>
      </c>
      <c r="B20" s="20">
        <v>172437.86352090002</v>
      </c>
      <c r="C20" s="20">
        <v>11160.840296750002</v>
      </c>
      <c r="D20" s="20">
        <v>170383.53005659999</v>
      </c>
      <c r="E20" s="20">
        <v>81359.501947600002</v>
      </c>
      <c r="F20" s="20">
        <v>1728.4425112500001</v>
      </c>
      <c r="G20" s="20">
        <v>56514.874276040005</v>
      </c>
      <c r="H20" s="20">
        <v>9059.4597119999999</v>
      </c>
      <c r="I20" s="20">
        <v>7430.7220030000008</v>
      </c>
      <c r="J20" s="20">
        <v>1392.2693061</v>
      </c>
      <c r="K20" s="20">
        <v>2737</v>
      </c>
      <c r="L20" s="20">
        <v>5393.9</v>
      </c>
      <c r="M20" s="20">
        <v>14970.138804509997</v>
      </c>
      <c r="N20" s="20">
        <v>5520.8100486000003</v>
      </c>
      <c r="O20" s="20">
        <v>8844.230732</v>
      </c>
      <c r="P20" s="20">
        <v>1485.3061181000003</v>
      </c>
      <c r="Q20" s="20">
        <v>189.83147780000002</v>
      </c>
      <c r="R20" s="20">
        <v>10296.305859020002</v>
      </c>
      <c r="S20" s="20" t="s">
        <v>69</v>
      </c>
      <c r="T20" s="20">
        <v>4422.8907390000004</v>
      </c>
      <c r="U20" s="20">
        <v>2545.1587829999999</v>
      </c>
      <c r="V20" s="20">
        <v>55465.251568079992</v>
      </c>
      <c r="W20" s="20">
        <v>23134.35241</v>
      </c>
      <c r="X20" s="20">
        <v>416.16845270000005</v>
      </c>
      <c r="Y20" s="20">
        <v>0.10062572</v>
      </c>
      <c r="Z20" s="20">
        <v>5.7450395500000004</v>
      </c>
      <c r="AA20" s="20">
        <v>5995.4328929999992</v>
      </c>
      <c r="AB20" s="20">
        <v>337.19207789999996</v>
      </c>
      <c r="AC20" s="20">
        <v>91581.653769970027</v>
      </c>
      <c r="AD20" s="20">
        <v>138239.70891449001</v>
      </c>
      <c r="AE20" s="20">
        <v>46416.378279999997</v>
      </c>
      <c r="AF20" s="20">
        <v>23342.266670000001</v>
      </c>
      <c r="AG20" s="20">
        <v>5124.8569810000008</v>
      </c>
      <c r="AH20" s="20">
        <v>182.24605460000001</v>
      </c>
      <c r="AI20" s="20">
        <v>-1313.3735688000002</v>
      </c>
    </row>
    <row r="21" spans="1:35" x14ac:dyDescent="0.25">
      <c r="A21">
        <v>2014</v>
      </c>
      <c r="B21" s="20">
        <v>251365.73770276003</v>
      </c>
      <c r="C21" s="20">
        <v>15709.378792420001</v>
      </c>
      <c r="D21" s="20">
        <v>231260.45533605997</v>
      </c>
      <c r="E21" s="20">
        <v>104965.39364840998</v>
      </c>
      <c r="F21" s="20">
        <v>2290.8685557700001</v>
      </c>
      <c r="G21" s="20">
        <v>76739.845221669995</v>
      </c>
      <c r="H21" s="20">
        <v>12925.35303661</v>
      </c>
      <c r="I21" s="20">
        <v>9494.4338369100005</v>
      </c>
      <c r="J21" s="20">
        <v>2013.2715997099997</v>
      </c>
      <c r="K21" s="20">
        <v>5023.0230000000001</v>
      </c>
      <c r="L21" s="20">
        <v>11215.3</v>
      </c>
      <c r="M21" s="20">
        <v>20566.117716690002</v>
      </c>
      <c r="N21" s="20">
        <v>7811.7708676299999</v>
      </c>
      <c r="O21" s="20">
        <v>13742.232335409999</v>
      </c>
      <c r="P21" s="20">
        <v>2183.0902192999997</v>
      </c>
      <c r="Q21" s="20">
        <v>186.88020484999998</v>
      </c>
      <c r="R21" s="20">
        <v>14355.658194170001</v>
      </c>
      <c r="S21" s="20" t="s">
        <v>69</v>
      </c>
      <c r="T21" s="20">
        <v>4259.2894205000002</v>
      </c>
      <c r="U21" s="20">
        <v>3281.5609569499998</v>
      </c>
      <c r="V21" s="20">
        <v>84088.165612200013</v>
      </c>
      <c r="W21" s="20">
        <v>29482.272601799999</v>
      </c>
      <c r="X21" s="20">
        <v>576.17580540000006</v>
      </c>
      <c r="Y21" s="20">
        <v>0.35379699000000003</v>
      </c>
      <c r="Z21" s="20">
        <v>40.116917370000003</v>
      </c>
      <c r="AA21" s="20">
        <v>7614.6466614300016</v>
      </c>
      <c r="AB21" s="20">
        <v>453.68477145000003</v>
      </c>
      <c r="AC21" s="20">
        <v>119431.26426655002</v>
      </c>
      <c r="AD21" s="20">
        <v>179025.69828257</v>
      </c>
      <c r="AE21" s="20">
        <v>61145.429162299995</v>
      </c>
      <c r="AF21" s="20">
        <v>32208.887570360002</v>
      </c>
      <c r="AG21" s="20">
        <v>7750.5124563900026</v>
      </c>
      <c r="AH21" s="20">
        <v>237.29934903999995</v>
      </c>
      <c r="AI21" s="20">
        <v>1339.7669440399982</v>
      </c>
    </row>
    <row r="22" spans="1:35" x14ac:dyDescent="0.25">
      <c r="A22">
        <v>2015</v>
      </c>
      <c r="B22" s="20">
        <v>363332.29534051998</v>
      </c>
      <c r="C22" s="20">
        <v>18130.949234740001</v>
      </c>
      <c r="D22" s="20">
        <v>316336.39893667999</v>
      </c>
      <c r="E22" s="20">
        <v>122163.31750273998</v>
      </c>
      <c r="F22" s="20">
        <v>2513.3320095499998</v>
      </c>
      <c r="G22" s="20">
        <v>97479.559886709991</v>
      </c>
      <c r="H22" s="20">
        <v>19497.062423849995</v>
      </c>
      <c r="I22" s="20">
        <v>11517.713887059999</v>
      </c>
      <c r="J22" s="20">
        <v>2940.4327162299996</v>
      </c>
      <c r="K22" s="20">
        <v>5423.4000000000005</v>
      </c>
      <c r="L22" s="20">
        <v>8831</v>
      </c>
      <c r="M22" s="20">
        <v>25453.578865999996</v>
      </c>
      <c r="N22" s="20">
        <v>9025.6541475499998</v>
      </c>
      <c r="O22" s="20">
        <v>19822.730199789999</v>
      </c>
      <c r="P22" s="20">
        <v>1990.29601568</v>
      </c>
      <c r="Q22" s="20">
        <v>186.00139991</v>
      </c>
      <c r="R22" s="20">
        <v>18210.41193857</v>
      </c>
      <c r="S22" s="20" t="s">
        <v>69</v>
      </c>
      <c r="T22" s="20">
        <v>5624.1257007900012</v>
      </c>
      <c r="U22" s="20">
        <v>4600.3240367399994</v>
      </c>
      <c r="V22" s="20">
        <v>75939.249880539996</v>
      </c>
      <c r="W22" s="20">
        <v>34821.671826979997</v>
      </c>
      <c r="X22" s="20">
        <v>690.64445890999991</v>
      </c>
      <c r="Y22" s="20">
        <v>1.4410178599999999</v>
      </c>
      <c r="Z22" s="20">
        <v>35.194924129999997</v>
      </c>
      <c r="AA22" s="20">
        <v>8757.1497426800015</v>
      </c>
      <c r="AB22" s="20">
        <v>536.83986167</v>
      </c>
      <c r="AC22" s="20">
        <v>161262.92329583998</v>
      </c>
      <c r="AD22" s="20">
        <v>242282.75325955998</v>
      </c>
      <c r="AE22" s="20">
        <v>81752.622365269985</v>
      </c>
      <c r="AF22" s="20">
        <v>47774.806828059998</v>
      </c>
      <c r="AG22" s="20">
        <v>11089.58892726</v>
      </c>
      <c r="AH22" s="20">
        <v>328.56248402</v>
      </c>
      <c r="AI22" s="20">
        <v>1306.2386722399938</v>
      </c>
    </row>
    <row r="23" spans="1:35" x14ac:dyDescent="0.25">
      <c r="A23">
        <v>2016</v>
      </c>
      <c r="B23" s="20">
        <v>404349.96798877994</v>
      </c>
      <c r="C23" s="20">
        <v>28557.186045399998</v>
      </c>
      <c r="D23" s="20">
        <v>406119.82616985001</v>
      </c>
      <c r="E23" s="20">
        <v>183029.11017582004</v>
      </c>
      <c r="F23" s="20">
        <v>3246.3320374</v>
      </c>
      <c r="G23" s="20">
        <v>131669.07898259</v>
      </c>
      <c r="H23" s="20">
        <v>32655.418323850001</v>
      </c>
      <c r="I23" s="20">
        <v>14336.02200112</v>
      </c>
      <c r="J23" s="20">
        <v>4237.8436545599998</v>
      </c>
      <c r="K23" s="20">
        <v>5932</v>
      </c>
      <c r="L23" s="20">
        <v>14983</v>
      </c>
      <c r="M23" s="20">
        <v>32123.449248330002</v>
      </c>
      <c r="N23" s="20">
        <v>13243.31615551</v>
      </c>
      <c r="O23" s="20">
        <v>26845.852055390002</v>
      </c>
      <c r="P23" s="20">
        <v>3263.8479284600003</v>
      </c>
      <c r="Q23" s="20">
        <v>187.50310884999999</v>
      </c>
      <c r="R23" s="20">
        <v>19540.724132390002</v>
      </c>
      <c r="S23" s="20" t="s">
        <v>69</v>
      </c>
      <c r="T23" s="20">
        <v>6873.037761059999</v>
      </c>
      <c r="U23" s="20">
        <v>113315.4811722</v>
      </c>
      <c r="V23" s="20">
        <v>71509.127182550001</v>
      </c>
      <c r="W23" s="20">
        <v>55305.133536349997</v>
      </c>
      <c r="X23" s="20">
        <v>1059.51548576</v>
      </c>
      <c r="Y23" s="20">
        <v>0.87443987999999995</v>
      </c>
      <c r="Z23" s="20">
        <v>38.490330270000001</v>
      </c>
      <c r="AA23" s="20">
        <v>13847.07971478</v>
      </c>
      <c r="AB23" s="20">
        <v>703.1206914600001</v>
      </c>
      <c r="AC23" s="20">
        <v>212743.44633385999</v>
      </c>
      <c r="AD23" s="20">
        <v>324234.77160681994</v>
      </c>
      <c r="AE23" s="20">
        <v>108665.74165807999</v>
      </c>
      <c r="AF23" s="20">
        <v>63810.90283086001</v>
      </c>
      <c r="AG23" s="20">
        <v>14039.80190905</v>
      </c>
      <c r="AH23" s="20">
        <v>458.63596008000002</v>
      </c>
      <c r="AI23" s="20">
        <v>3951.8027213600044</v>
      </c>
    </row>
    <row r="24" spans="1:35" x14ac:dyDescent="0.25">
      <c r="A24">
        <v>2017</v>
      </c>
      <c r="B24" s="20">
        <v>520107.19322344998</v>
      </c>
      <c r="C24" s="20">
        <v>34915.77931867</v>
      </c>
      <c r="D24" s="20">
        <v>542114.7988883201</v>
      </c>
      <c r="E24" s="20">
        <v>243727.48798273003</v>
      </c>
      <c r="F24" s="20">
        <v>2560.4689960199998</v>
      </c>
      <c r="G24" s="20">
        <v>172838.48224308999</v>
      </c>
      <c r="H24" s="20">
        <v>46801.289623069999</v>
      </c>
      <c r="I24" s="20">
        <v>22184.04722167</v>
      </c>
      <c r="J24" s="20">
        <v>5750.4799269900004</v>
      </c>
      <c r="K24" s="20">
        <v>20506</v>
      </c>
      <c r="L24" s="20">
        <v>24953.096508980001</v>
      </c>
      <c r="M24" s="20">
        <v>46591.058660720002</v>
      </c>
      <c r="N24" s="20">
        <v>20245.771480970001</v>
      </c>
      <c r="O24" s="20">
        <v>31987.780122000004</v>
      </c>
      <c r="P24" s="20">
        <v>3815.369470919999</v>
      </c>
      <c r="Q24" s="20">
        <v>205.61548111000002</v>
      </c>
      <c r="R24" s="20">
        <v>22165.134850200004</v>
      </c>
      <c r="S24" s="20" t="s">
        <v>69</v>
      </c>
      <c r="T24" s="20">
        <v>10544.045015439999</v>
      </c>
      <c r="U24" s="20">
        <v>52099.216669880007</v>
      </c>
      <c r="V24" s="20">
        <v>66121.399115819993</v>
      </c>
      <c r="W24" s="20">
        <v>69259.125992060013</v>
      </c>
      <c r="X24" s="20">
        <v>1376.0599288199999</v>
      </c>
      <c r="Y24" s="20">
        <v>4.8222360000000006E-2</v>
      </c>
      <c r="Z24" s="20">
        <v>7.2226038999999993</v>
      </c>
      <c r="AA24" s="20">
        <v>19737.871775320004</v>
      </c>
      <c r="AB24" s="20">
        <v>736.40787925000006</v>
      </c>
      <c r="AC24" s="20">
        <v>279185.78335138003</v>
      </c>
      <c r="AD24" s="20">
        <v>424268.19341345003</v>
      </c>
      <c r="AE24" s="20">
        <v>142003.04535874</v>
      </c>
      <c r="AF24" s="20">
        <v>80368.331289289999</v>
      </c>
      <c r="AG24" s="20">
        <v>20092.535413090001</v>
      </c>
      <c r="AH24" s="20">
        <v>682.7388780299998</v>
      </c>
      <c r="AI24" s="20">
        <v>5183.0573974299996</v>
      </c>
    </row>
    <row r="25" spans="1:35" x14ac:dyDescent="0.25">
      <c r="A25">
        <v>2018</v>
      </c>
      <c r="B25" s="20">
        <v>689500.34022585</v>
      </c>
      <c r="C25" s="20">
        <v>52552.045515949998</v>
      </c>
      <c r="D25" s="20">
        <v>767719.2748450099</v>
      </c>
      <c r="E25" s="20">
        <v>360261.01492909004</v>
      </c>
      <c r="F25" s="20">
        <v>2054.7685449400005</v>
      </c>
      <c r="G25" s="20">
        <v>234299.93497478004</v>
      </c>
      <c r="H25" s="20">
        <v>51347.180694889998</v>
      </c>
      <c r="I25" s="20">
        <v>23976.644332870001</v>
      </c>
      <c r="J25" s="20">
        <v>6813.5815139600008</v>
      </c>
      <c r="K25" s="20">
        <v>23400</v>
      </c>
      <c r="L25" s="20">
        <v>34600</v>
      </c>
      <c r="M25" s="20">
        <v>64341.955796030001</v>
      </c>
      <c r="N25" s="20">
        <v>40601.715516190001</v>
      </c>
      <c r="O25" s="20">
        <v>3794.6368074099992</v>
      </c>
      <c r="P25" s="20">
        <v>515.77346095000019</v>
      </c>
      <c r="Q25" s="20">
        <v>5421.4002556900004</v>
      </c>
      <c r="R25" s="20">
        <v>14517.153811659999</v>
      </c>
      <c r="S25" s="20" t="s">
        <v>69</v>
      </c>
      <c r="T25" s="20">
        <v>16052.307789020002</v>
      </c>
      <c r="U25" s="20">
        <v>15015.449846269999</v>
      </c>
      <c r="V25" s="20">
        <v>114160.35689253001</v>
      </c>
      <c r="W25" s="20">
        <v>104990.75046726</v>
      </c>
      <c r="X25" s="20">
        <v>2187.31189047</v>
      </c>
      <c r="Y25" s="20">
        <v>1.5001100000000002E-3</v>
      </c>
      <c r="Z25" s="20">
        <v>5.611230599999999</v>
      </c>
      <c r="AA25" s="20">
        <v>28735.06710412</v>
      </c>
      <c r="AB25" s="20">
        <v>1025.3765667600001</v>
      </c>
      <c r="AC25" s="20">
        <v>352350.22797904001</v>
      </c>
      <c r="AD25" s="20">
        <v>526704.84007579996</v>
      </c>
      <c r="AE25" s="20">
        <v>179284.06145318001</v>
      </c>
      <c r="AF25" s="20">
        <v>92857.395846640007</v>
      </c>
      <c r="AG25" s="20">
        <v>26388.441567309997</v>
      </c>
      <c r="AH25" s="20">
        <v>861.60652735999997</v>
      </c>
      <c r="AI25" s="20">
        <v>-8660.343898599991</v>
      </c>
    </row>
    <row r="26" spans="1:35" x14ac:dyDescent="0.25">
      <c r="A26">
        <v>2019</v>
      </c>
      <c r="B26" s="20">
        <v>1025827.7976893299</v>
      </c>
      <c r="C26" s="20">
        <v>70693.444279499992</v>
      </c>
      <c r="D26" s="20">
        <v>1097200.3673955</v>
      </c>
      <c r="E26" s="20">
        <v>481095.76946122001</v>
      </c>
      <c r="F26" s="20">
        <v>2715.6932150500002</v>
      </c>
      <c r="G26" s="20">
        <v>349559.15842997003</v>
      </c>
      <c r="H26" s="20">
        <v>69570.815960340013</v>
      </c>
      <c r="I26" s="20">
        <v>26261.482508919999</v>
      </c>
      <c r="J26" s="20">
        <v>9403.5523063600012</v>
      </c>
      <c r="K26" s="20">
        <v>45700</v>
      </c>
      <c r="L26" s="20">
        <v>29270</v>
      </c>
      <c r="M26" s="20">
        <v>88579.85279094</v>
      </c>
      <c r="N26" s="20">
        <v>61219.657607430003</v>
      </c>
      <c r="O26" s="20">
        <v>3.8846235600000005</v>
      </c>
      <c r="P26" s="20">
        <v>-1.5041400000000002E-3</v>
      </c>
      <c r="Q26" s="20">
        <v>11896.321169649998</v>
      </c>
      <c r="R26" s="20">
        <v>31183.73432095</v>
      </c>
      <c r="S26" s="20" t="s">
        <v>69</v>
      </c>
      <c r="T26" s="20">
        <v>20634.928628129997</v>
      </c>
      <c r="U26" s="20">
        <v>18026.393834049999</v>
      </c>
      <c r="V26" s="20">
        <v>398311.83357690007</v>
      </c>
      <c r="W26" s="20">
        <v>132405.11140426999</v>
      </c>
      <c r="X26" s="20">
        <v>30670.529801740002</v>
      </c>
      <c r="Y26" s="20">
        <v>1.6671146300000002</v>
      </c>
      <c r="Z26" s="20">
        <v>30.351958059999994</v>
      </c>
      <c r="AA26" s="20">
        <v>36369.183376340006</v>
      </c>
      <c r="AB26" s="20">
        <v>1253.1196971099996</v>
      </c>
      <c r="AC26" s="20">
        <v>472510.96575530997</v>
      </c>
      <c r="AD26" s="20">
        <v>705020.58142485004</v>
      </c>
      <c r="AE26" s="20">
        <v>249650.45733622002</v>
      </c>
      <c r="AF26" s="20">
        <v>123442.08104772998</v>
      </c>
      <c r="AG26" s="20">
        <v>35011.887137269994</v>
      </c>
      <c r="AH26" s="20">
        <v>1059.28707005</v>
      </c>
      <c r="AI26" s="20">
        <v>-1069.4228329799853</v>
      </c>
    </row>
    <row r="27" spans="1:35" x14ac:dyDescent="0.25">
      <c r="A27">
        <v>2020</v>
      </c>
      <c r="B27" s="20">
        <f>SUM('03-19'!B214:B225)</f>
        <v>1371188.5475646199</v>
      </c>
      <c r="C27" s="20">
        <f>SUM('03-19'!C214:C225)</f>
        <v>96114.801743739998</v>
      </c>
      <c r="D27" s="20">
        <f>SUM('03-19'!D214:D225)</f>
        <v>1289513.5605788601</v>
      </c>
      <c r="E27" s="20">
        <f>SUM('03-19'!E214:E225)</f>
        <v>662047.23283992009</v>
      </c>
      <c r="F27" s="20">
        <f>SUM('03-19'!F214:F225)</f>
        <v>8219.2051720999989</v>
      </c>
      <c r="G27" s="20">
        <f>SUM('03-19'!G214:G225)</f>
        <v>452459.11763492</v>
      </c>
      <c r="H27" s="20">
        <f>SUM('03-19'!H214:H225)</f>
        <v>101944.15838654</v>
      </c>
      <c r="I27" s="20">
        <f>SUM('03-19'!I214:I225)</f>
        <v>63684.121525800001</v>
      </c>
      <c r="J27" s="20">
        <f>SUM('03-19'!J214:J225)</f>
        <v>13384.564438539999</v>
      </c>
      <c r="K27" s="20">
        <f>SUM('03-19'!K214:K225)</f>
        <v>46175.700000000004</v>
      </c>
      <c r="L27" s="20">
        <f>SUM('03-19'!L214:L225)</f>
        <v>32181.599999999999</v>
      </c>
      <c r="M27" s="20" t="e">
        <f>SUM('03-19'!M214:M225)</f>
        <v>#REF!</v>
      </c>
      <c r="N27" s="20" t="e">
        <f>SUM('03-19'!N214:N225)</f>
        <v>#REF!</v>
      </c>
      <c r="O27" s="20" t="e">
        <f>SUM('03-19'!O214:O225)</f>
        <v>#REF!</v>
      </c>
      <c r="P27" s="20" t="e">
        <f>SUM('03-19'!P214:P225)</f>
        <v>#REF!</v>
      </c>
      <c r="Q27" s="20" t="e">
        <f>SUM('03-19'!Q214:Q225)</f>
        <v>#REF!</v>
      </c>
      <c r="R27" s="20">
        <f>SUM('03-19'!R214:R225)</f>
        <v>207381.60540047998</v>
      </c>
      <c r="S27" s="20">
        <f>SUM('03-19'!S214:S225)</f>
        <v>322692.82081957004</v>
      </c>
      <c r="T27" s="20">
        <f>SUM('03-19'!T214:T225)</f>
        <v>221789.83055899001</v>
      </c>
      <c r="U27" s="20">
        <f>SUM('03-19'!U214:U225)</f>
        <v>18101.368295849999</v>
      </c>
      <c r="V27" s="20">
        <f>SUM('03-19'!V214:V225)</f>
        <v>387642.7461931</v>
      </c>
      <c r="W27" s="20">
        <f>SUM('03-19'!W214:W225)</f>
        <v>164888.14696769003</v>
      </c>
      <c r="X27" s="20">
        <f>SUM('03-19'!X214:X225)</f>
        <v>34848.48083642</v>
      </c>
      <c r="Y27" s="20">
        <f>SUM('03-19'!Y214:Y225)</f>
        <v>6.1062039999999998E-2</v>
      </c>
      <c r="Z27" s="20">
        <f>SUM('03-19'!Z214:Z225)</f>
        <v>19.994015430000001</v>
      </c>
      <c r="AA27" s="20">
        <f>SUM('03-19'!AA214:AA225)</f>
        <v>53282.508196939998</v>
      </c>
      <c r="AB27" s="20">
        <f>SUM('03-19'!AB214:AB225)</f>
        <v>1151.2158190800001</v>
      </c>
      <c r="AC27" s="20">
        <f>SUM('03-19'!AC214:AC225)</f>
        <v>608227.33924802998</v>
      </c>
      <c r="AD27" s="20">
        <f>SUM('03-19'!AD214:AD225)</f>
        <v>877361.77273646987</v>
      </c>
      <c r="AE27" s="20">
        <f>SUM('03-19'!AE214:AE225)</f>
        <v>336565.59656001005</v>
      </c>
      <c r="AF27" s="20">
        <f>SUM('03-19'!AF214:AF225)</f>
        <v>155690.95413574998</v>
      </c>
      <c r="AG27" s="20">
        <f>SUM('03-19'!AG214:AG225)</f>
        <v>52017.919793969995</v>
      </c>
      <c r="AH27" s="20">
        <f>SUM('03-19'!AH214:AH225)</f>
        <v>1343.1030402900001</v>
      </c>
      <c r="AI27" s="20">
        <f>SUM('03-19'!AI214:AI225)</f>
        <v>6216.5026234999987</v>
      </c>
    </row>
  </sheetData>
  <mergeCells count="31">
    <mergeCell ref="Y8:Y9"/>
    <mergeCell ref="AG8:AG9"/>
    <mergeCell ref="AH8:AH9"/>
    <mergeCell ref="AI8:AI9"/>
    <mergeCell ref="AA8:AA9"/>
    <mergeCell ref="AB8:AB9"/>
    <mergeCell ref="AC8:AC9"/>
    <mergeCell ref="AD8:AD9"/>
    <mergeCell ref="AE8:AE9"/>
    <mergeCell ref="AF8:AF9"/>
    <mergeCell ref="T8:T9"/>
    <mergeCell ref="U8:U9"/>
    <mergeCell ref="V8:V9"/>
    <mergeCell ref="W8:W9"/>
    <mergeCell ref="X8:X9"/>
    <mergeCell ref="A6:A9"/>
    <mergeCell ref="B6:AI6"/>
    <mergeCell ref="B7:U7"/>
    <mergeCell ref="V7:AB7"/>
    <mergeCell ref="AC7:AI7"/>
    <mergeCell ref="B8:C8"/>
    <mergeCell ref="D8:E8"/>
    <mergeCell ref="F8:F9"/>
    <mergeCell ref="G8:G9"/>
    <mergeCell ref="H8:I8"/>
    <mergeCell ref="Z8:Z9"/>
    <mergeCell ref="J8:J9"/>
    <mergeCell ref="K8:L8"/>
    <mergeCell ref="M8:Q8"/>
    <mergeCell ref="R8:R9"/>
    <mergeCell ref="S8:S9"/>
  </mergeCells>
  <hyperlinks>
    <hyperlink ref="B4" r:id="rId1" xr:uid="{5202E196-41AC-442B-AFD3-569426C4FE58}"/>
    <hyperlink ref="E4" location="INDICE!A1" display="Vover al indice" xr:uid="{8710505A-99A6-4B2E-9893-C3B8779D488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69C96-3C6B-4053-90AC-65E0665EA711}">
  <dimension ref="A1:AE64"/>
  <sheetViews>
    <sheetView showGridLines="0" workbookViewId="0">
      <pane xSplit="1" ySplit="9" topLeftCell="B51" activePane="bottomRight" state="frozen"/>
      <selection pane="topRight" activeCell="B1" sqref="B1"/>
      <selection pane="bottomLeft" activeCell="A10" sqref="A10"/>
      <selection pane="bottomRight" activeCell="F60" sqref="F60"/>
    </sheetView>
  </sheetViews>
  <sheetFormatPr baseColWidth="10" defaultColWidth="11.42578125" defaultRowHeight="15" x14ac:dyDescent="0.25"/>
  <cols>
    <col min="2" max="2" width="13.85546875" bestFit="1" customWidth="1"/>
    <col min="3" max="3" width="12.85546875" bestFit="1" customWidth="1"/>
    <col min="4" max="4" width="13.85546875" bestFit="1" customWidth="1"/>
    <col min="5" max="5" width="13" bestFit="1" customWidth="1"/>
    <col min="6" max="6" width="11.85546875" bestFit="1" customWidth="1"/>
    <col min="7" max="7" width="13" bestFit="1" customWidth="1"/>
    <col min="8" max="8" width="12.85546875" bestFit="1" customWidth="1"/>
    <col min="9" max="12" width="11.85546875" bestFit="1" customWidth="1"/>
    <col min="13" max="13" width="12.85546875" bestFit="1" customWidth="1"/>
    <col min="14" max="14" width="11.85546875" bestFit="1" customWidth="1"/>
    <col min="15" max="15" width="12" bestFit="1" customWidth="1"/>
    <col min="16" max="17" width="11.85546875" bestFit="1" customWidth="1"/>
    <col min="18" max="18" width="13" bestFit="1" customWidth="1"/>
    <col min="19" max="19" width="12.85546875" bestFit="1" customWidth="1"/>
    <col min="20" max="24" width="11.85546875" bestFit="1" customWidth="1"/>
    <col min="25" max="25" width="13" bestFit="1" customWidth="1"/>
    <col min="26" max="26" width="13.85546875" bestFit="1" customWidth="1"/>
    <col min="27" max="27" width="13" bestFit="1" customWidth="1"/>
    <col min="28" max="28" width="12.85546875" bestFit="1" customWidth="1"/>
    <col min="29" max="30" width="11.85546875" bestFit="1" customWidth="1"/>
    <col min="31" max="31" width="12.42578125" bestFit="1" customWidth="1"/>
  </cols>
  <sheetData>
    <row r="1" spans="1:31" ht="23.25" x14ac:dyDescent="0.35">
      <c r="A1" s="17" t="s">
        <v>25</v>
      </c>
    </row>
    <row r="2" spans="1:31" ht="21" x14ac:dyDescent="0.35">
      <c r="A2" s="18" t="s">
        <v>209</v>
      </c>
    </row>
    <row r="3" spans="1:31" x14ac:dyDescent="0.25">
      <c r="A3" t="s">
        <v>186</v>
      </c>
    </row>
    <row r="4" spans="1:31" x14ac:dyDescent="0.25">
      <c r="A4" t="s">
        <v>28</v>
      </c>
      <c r="B4" s="35" t="s">
        <v>29</v>
      </c>
      <c r="E4" s="35" t="s">
        <v>30</v>
      </c>
    </row>
    <row r="6" spans="1:31" ht="15.75" x14ac:dyDescent="0.25">
      <c r="A6" s="52" t="s">
        <v>31</v>
      </c>
      <c r="B6" s="53" t="s">
        <v>32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</row>
    <row r="7" spans="1:31" ht="15.75" x14ac:dyDescent="0.25">
      <c r="A7" s="52"/>
      <c r="B7" s="56" t="s">
        <v>33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  <c r="R7" s="55" t="s">
        <v>34</v>
      </c>
      <c r="S7" s="56"/>
      <c r="T7" s="56"/>
      <c r="U7" s="56"/>
      <c r="V7" s="56"/>
      <c r="W7" s="56"/>
      <c r="X7" s="57"/>
      <c r="Y7" s="58" t="s">
        <v>35</v>
      </c>
      <c r="Z7" s="59"/>
      <c r="AA7" s="59"/>
      <c r="AB7" s="59"/>
      <c r="AC7" s="59"/>
      <c r="AD7" s="59"/>
      <c r="AE7" s="59"/>
    </row>
    <row r="8" spans="1:31" ht="15.75" x14ac:dyDescent="0.25">
      <c r="A8" s="52"/>
      <c r="B8" s="56" t="s">
        <v>36</v>
      </c>
      <c r="C8" s="57"/>
      <c r="D8" s="55" t="s">
        <v>37</v>
      </c>
      <c r="E8" s="56"/>
      <c r="F8" s="46" t="s">
        <v>38</v>
      </c>
      <c r="G8" s="46" t="s">
        <v>39</v>
      </c>
      <c r="H8" s="60" t="s">
        <v>40</v>
      </c>
      <c r="I8" s="60"/>
      <c r="J8" s="46" t="s">
        <v>41</v>
      </c>
      <c r="K8" s="60" t="s">
        <v>42</v>
      </c>
      <c r="L8" s="60"/>
      <c r="M8" s="50" t="s">
        <v>216</v>
      </c>
      <c r="N8" s="46" t="s">
        <v>44</v>
      </c>
      <c r="O8" s="46" t="s">
        <v>45</v>
      </c>
      <c r="P8" s="46" t="s">
        <v>46</v>
      </c>
      <c r="Q8" s="48" t="s">
        <v>47</v>
      </c>
      <c r="R8" s="51" t="s">
        <v>48</v>
      </c>
      <c r="S8" s="47" t="s">
        <v>49</v>
      </c>
      <c r="T8" s="47" t="s">
        <v>50</v>
      </c>
      <c r="U8" s="47" t="s">
        <v>51</v>
      </c>
      <c r="V8" s="47" t="s">
        <v>52</v>
      </c>
      <c r="W8" s="47" t="s">
        <v>53</v>
      </c>
      <c r="X8" s="49" t="s">
        <v>54</v>
      </c>
      <c r="Y8" s="50" t="s">
        <v>211</v>
      </c>
      <c r="Z8" s="46" t="s">
        <v>212</v>
      </c>
      <c r="AA8" s="46" t="s">
        <v>56</v>
      </c>
      <c r="AB8" s="46" t="s">
        <v>57</v>
      </c>
      <c r="AC8" s="46" t="s">
        <v>213</v>
      </c>
      <c r="AD8" s="46" t="s">
        <v>214</v>
      </c>
      <c r="AE8" s="46" t="s">
        <v>60</v>
      </c>
    </row>
    <row r="9" spans="1:31" ht="31.5" x14ac:dyDescent="0.25">
      <c r="A9" s="52"/>
      <c r="B9" s="11" t="s">
        <v>61</v>
      </c>
      <c r="C9" s="12" t="s">
        <v>62</v>
      </c>
      <c r="D9" s="11" t="s">
        <v>63</v>
      </c>
      <c r="E9" s="11" t="s">
        <v>64</v>
      </c>
      <c r="F9" s="47"/>
      <c r="G9" s="47"/>
      <c r="H9" s="11" t="s">
        <v>65</v>
      </c>
      <c r="I9" s="11" t="s">
        <v>54</v>
      </c>
      <c r="J9" s="47"/>
      <c r="K9" s="11" t="s">
        <v>66</v>
      </c>
      <c r="L9" s="11" t="s">
        <v>67</v>
      </c>
      <c r="M9" s="51"/>
      <c r="N9" s="47"/>
      <c r="O9" s="47"/>
      <c r="P9" s="47"/>
      <c r="Q9" s="49"/>
      <c r="R9" s="51"/>
      <c r="S9" s="47"/>
      <c r="T9" s="47"/>
      <c r="U9" s="47"/>
      <c r="V9" s="47"/>
      <c r="W9" s="47"/>
      <c r="X9" s="49"/>
      <c r="Y9" s="51"/>
      <c r="Z9" s="47"/>
      <c r="AA9" s="47"/>
      <c r="AB9" s="47"/>
      <c r="AC9" s="47"/>
      <c r="AD9" s="47"/>
      <c r="AE9" s="47"/>
    </row>
    <row r="10" spans="1:31" ht="15.75" x14ac:dyDescent="0.25">
      <c r="A10" s="27">
        <v>43831</v>
      </c>
      <c r="B10" s="38">
        <v>88895.628504909997</v>
      </c>
      <c r="C10" s="38">
        <v>7246.6913851999998</v>
      </c>
      <c r="D10" s="38">
        <v>122375.98768980001</v>
      </c>
      <c r="E10" s="38">
        <v>50202.573421709996</v>
      </c>
      <c r="F10" s="38">
        <v>2096.7248503000001</v>
      </c>
      <c r="G10" s="38">
        <v>35776.151070109998</v>
      </c>
      <c r="H10" s="38">
        <v>4651.6864317</v>
      </c>
      <c r="I10" s="38">
        <v>4485.5111009699995</v>
      </c>
      <c r="J10" s="38">
        <v>923.91822936999995</v>
      </c>
      <c r="K10" s="38">
        <v>1883</v>
      </c>
      <c r="L10" s="38">
        <v>861</v>
      </c>
      <c r="M10" s="38">
        <v>11733.825119420002</v>
      </c>
      <c r="N10" s="38">
        <v>869.24530095</v>
      </c>
      <c r="O10" s="38">
        <v>3181.05566834</v>
      </c>
      <c r="P10" s="38">
        <v>27704.913588100007</v>
      </c>
      <c r="Q10" s="38">
        <v>1784.1421822300001</v>
      </c>
      <c r="R10" s="38">
        <v>23979.278282259998</v>
      </c>
      <c r="S10" s="38">
        <v>13757.308127720002</v>
      </c>
      <c r="T10" s="38">
        <v>2657.7686970300006</v>
      </c>
      <c r="U10" s="38">
        <v>6.6549999999999991E-5</v>
      </c>
      <c r="V10" s="38">
        <v>1.6266137099999991</v>
      </c>
      <c r="W10" s="38">
        <v>3575.0445549999999</v>
      </c>
      <c r="X10" s="38">
        <v>76.213964729999972</v>
      </c>
      <c r="Y10" s="38">
        <v>60942.698609840001</v>
      </c>
      <c r="Z10" s="38">
        <v>88910.424055799973</v>
      </c>
      <c r="AA10" s="38">
        <v>33640.253409910001</v>
      </c>
      <c r="AB10" s="38">
        <v>15904.265246440002</v>
      </c>
      <c r="AC10" s="38">
        <v>3820.9145732899997</v>
      </c>
      <c r="AD10" s="38">
        <v>92.064992029999956</v>
      </c>
      <c r="AE10" s="38">
        <v>3579.3110489800038</v>
      </c>
    </row>
    <row r="11" spans="1:31" ht="15.75" x14ac:dyDescent="0.25">
      <c r="A11" s="27">
        <v>43862</v>
      </c>
      <c r="B11" s="38">
        <v>87340.320368949993</v>
      </c>
      <c r="C11" s="38">
        <v>5776.0497887399997</v>
      </c>
      <c r="D11" s="38">
        <v>106414.08069562001</v>
      </c>
      <c r="E11" s="38">
        <v>39773.247942949994</v>
      </c>
      <c r="F11" s="38">
        <v>1589.2545702999998</v>
      </c>
      <c r="G11" s="38">
        <v>35248.77760134</v>
      </c>
      <c r="H11" s="38">
        <v>8399.4271735300008</v>
      </c>
      <c r="I11" s="38">
        <v>4049.2890360699998</v>
      </c>
      <c r="J11" s="38">
        <v>1156.6277860399996</v>
      </c>
      <c r="K11" s="38">
        <v>4190</v>
      </c>
      <c r="L11" s="38">
        <v>584</v>
      </c>
      <c r="M11" s="38">
        <v>15713.121487860004</v>
      </c>
      <c r="N11" s="38">
        <v>5185.3098947500002</v>
      </c>
      <c r="O11" s="38">
        <v>7537.1677020899997</v>
      </c>
      <c r="P11" s="38">
        <v>23507.613063699999</v>
      </c>
      <c r="Q11" s="38">
        <v>1383.22865469</v>
      </c>
      <c r="R11" s="38">
        <v>21099.773868079999</v>
      </c>
      <c r="S11" s="38">
        <v>9983.9596682100018</v>
      </c>
      <c r="T11" s="38">
        <v>1951.91996509</v>
      </c>
      <c r="U11" s="38">
        <v>7.8650000000000014E-5</v>
      </c>
      <c r="V11" s="38">
        <v>3.3043762100000005</v>
      </c>
      <c r="W11" s="38">
        <v>2970.5449340600003</v>
      </c>
      <c r="X11" s="38">
        <v>156.91477891999997</v>
      </c>
      <c r="Y11" s="38">
        <v>48689.93346488</v>
      </c>
      <c r="Z11" s="38">
        <v>73925.518989149961</v>
      </c>
      <c r="AA11" s="38">
        <v>26102.147947789999</v>
      </c>
      <c r="AB11" s="38">
        <v>12327.184278939996</v>
      </c>
      <c r="AC11" s="38">
        <v>3966.5726062300005</v>
      </c>
      <c r="AD11" s="38">
        <v>90.012218279999999</v>
      </c>
      <c r="AE11" s="38">
        <v>476.01510494999684</v>
      </c>
    </row>
    <row r="12" spans="1:31" ht="15.75" x14ac:dyDescent="0.25">
      <c r="A12" s="27">
        <v>43891</v>
      </c>
      <c r="B12" s="38">
        <v>73430.900664040004</v>
      </c>
      <c r="C12" s="38">
        <v>6031.3651496700004</v>
      </c>
      <c r="D12" s="38">
        <v>99168.678083350009</v>
      </c>
      <c r="E12" s="38">
        <v>43992.09779634</v>
      </c>
      <c r="F12" s="38">
        <v>723.66124020000007</v>
      </c>
      <c r="G12" s="38">
        <v>32316.5160607</v>
      </c>
      <c r="H12" s="38">
        <v>5574.11623771</v>
      </c>
      <c r="I12" s="38">
        <v>3010.2528234200008</v>
      </c>
      <c r="J12" s="38">
        <v>1064.55106196</v>
      </c>
      <c r="K12" s="38">
        <v>6990.4</v>
      </c>
      <c r="L12" s="38">
        <v>600</v>
      </c>
      <c r="M12" s="38">
        <v>11907.716373930001</v>
      </c>
      <c r="N12" s="38">
        <v>1613.8620855300001</v>
      </c>
      <c r="O12" s="38">
        <v>6399.9082203600001</v>
      </c>
      <c r="P12" s="38">
        <v>21628.068499599998</v>
      </c>
      <c r="Q12" s="38">
        <v>1321.0852484699999</v>
      </c>
      <c r="R12" s="38">
        <v>28999.137079399999</v>
      </c>
      <c r="S12" s="38">
        <v>11424.311705620003</v>
      </c>
      <c r="T12" s="38">
        <v>2198.9901941299995</v>
      </c>
      <c r="U12" s="38">
        <v>1.5930409999999999E-2</v>
      </c>
      <c r="V12" s="38">
        <v>0.41498975000000005</v>
      </c>
      <c r="W12" s="38">
        <v>3292.0889747300002</v>
      </c>
      <c r="X12" s="38">
        <v>71.382081989999989</v>
      </c>
      <c r="Y12" s="38">
        <v>48533.850319819998</v>
      </c>
      <c r="Z12" s="38">
        <v>72097.494134190012</v>
      </c>
      <c r="AA12" s="38">
        <v>25977.977130489999</v>
      </c>
      <c r="AB12" s="38">
        <v>12130.629989360001</v>
      </c>
      <c r="AC12" s="38">
        <v>3771.5053219299998</v>
      </c>
      <c r="AD12" s="38">
        <v>88.911440459999994</v>
      </c>
      <c r="AE12" s="38">
        <v>706.1767904099944</v>
      </c>
    </row>
    <row r="13" spans="1:31" ht="15.75" x14ac:dyDescent="0.25">
      <c r="A13" s="27">
        <v>43922</v>
      </c>
      <c r="B13" s="38">
        <v>67130.424816409999</v>
      </c>
      <c r="C13" s="38">
        <v>6352.8997205200003</v>
      </c>
      <c r="D13" s="38">
        <v>87435.279553740023</v>
      </c>
      <c r="E13" s="38">
        <v>41091.944150859999</v>
      </c>
      <c r="F13" s="38">
        <v>1284.3264928999999</v>
      </c>
      <c r="G13" s="38">
        <v>29436.484164360001</v>
      </c>
      <c r="H13" s="38">
        <v>1537.12141438</v>
      </c>
      <c r="I13" s="38">
        <v>4441.4814057099993</v>
      </c>
      <c r="J13" s="38">
        <v>550.99549410999998</v>
      </c>
      <c r="K13" s="38">
        <v>1643</v>
      </c>
      <c r="L13" s="38">
        <v>5020</v>
      </c>
      <c r="M13" s="38">
        <v>11843.62398774</v>
      </c>
      <c r="N13" s="38">
        <v>7108.6948085200002</v>
      </c>
      <c r="O13" s="38">
        <v>4564.0972862500003</v>
      </c>
      <c r="P13" s="38">
        <v>18008.514339999994</v>
      </c>
      <c r="Q13" s="38">
        <v>880.66599967000002</v>
      </c>
      <c r="R13" s="38">
        <v>28172.085395180002</v>
      </c>
      <c r="S13" s="38">
        <v>9815.6589517299999</v>
      </c>
      <c r="T13" s="38">
        <v>2233.70241652</v>
      </c>
      <c r="U13" s="38">
        <v>2.389879E-2</v>
      </c>
      <c r="V13" s="38">
        <v>2.2623634299999997</v>
      </c>
      <c r="W13" s="38">
        <v>3135.4479785799995</v>
      </c>
      <c r="X13" s="38">
        <v>45.532453680000003</v>
      </c>
      <c r="Y13" s="38">
        <v>41380.855315739987</v>
      </c>
      <c r="Z13" s="38">
        <v>57601.493172200004</v>
      </c>
      <c r="AA13" s="38">
        <v>25026.140929360005</v>
      </c>
      <c r="AB13" s="38">
        <v>10970.92228726</v>
      </c>
      <c r="AC13" s="38">
        <v>4136.0814520000004</v>
      </c>
      <c r="AD13" s="38">
        <v>107.54261283999999</v>
      </c>
      <c r="AE13" s="38">
        <v>395.64279980999942</v>
      </c>
    </row>
    <row r="14" spans="1:31" ht="15.75" x14ac:dyDescent="0.25">
      <c r="A14" s="27">
        <v>43952</v>
      </c>
      <c r="B14" s="38">
        <v>134043.711993</v>
      </c>
      <c r="C14" s="38">
        <v>7276.3369936199997</v>
      </c>
      <c r="D14" s="38">
        <v>89254.284163979988</v>
      </c>
      <c r="E14" s="38">
        <v>44911.592867239997</v>
      </c>
      <c r="F14" s="38">
        <v>736.34917279999979</v>
      </c>
      <c r="G14" s="38">
        <v>35025.776623919999</v>
      </c>
      <c r="H14" s="38">
        <v>4754.4554307699991</v>
      </c>
      <c r="I14" s="38">
        <v>4594.6253646800005</v>
      </c>
      <c r="J14" s="38">
        <v>480.79398697000005</v>
      </c>
      <c r="K14" s="38">
        <v>3410</v>
      </c>
      <c r="L14" s="38">
        <v>4468</v>
      </c>
      <c r="M14" s="38">
        <v>12286.73324121</v>
      </c>
      <c r="N14" s="38">
        <v>6791.0311191800001</v>
      </c>
      <c r="O14" s="38">
        <v>11906.568543019999</v>
      </c>
      <c r="P14" s="38">
        <v>17922.285504200001</v>
      </c>
      <c r="Q14" s="38">
        <v>1313.1194328500001</v>
      </c>
      <c r="R14" s="38">
        <v>24752.755525389999</v>
      </c>
      <c r="S14" s="38">
        <v>11252.411451260001</v>
      </c>
      <c r="T14" s="38">
        <v>2477.9653975399992</v>
      </c>
      <c r="U14" s="38">
        <v>1.931308E-2</v>
      </c>
      <c r="V14" s="38">
        <v>1.1179436599999999</v>
      </c>
      <c r="W14" s="38">
        <v>3337.7076328899998</v>
      </c>
      <c r="X14" s="38">
        <v>104.65217455000003</v>
      </c>
      <c r="Y14" s="38">
        <v>42532.623214259998</v>
      </c>
      <c r="Z14" s="38">
        <v>59074.69937058998</v>
      </c>
      <c r="AA14" s="38">
        <v>24744.357594789999</v>
      </c>
      <c r="AB14" s="38">
        <v>11208.041395600001</v>
      </c>
      <c r="AC14" s="38">
        <v>4246.3803436500002</v>
      </c>
      <c r="AD14" s="38">
        <v>116.75379728999999</v>
      </c>
      <c r="AE14" s="38">
        <v>13217.327185980002</v>
      </c>
    </row>
    <row r="15" spans="1:31" ht="15.75" x14ac:dyDescent="0.25">
      <c r="A15" s="27">
        <v>43983</v>
      </c>
      <c r="B15" s="38">
        <v>142253.92025535999</v>
      </c>
      <c r="C15" s="38">
        <v>7986.7656318999998</v>
      </c>
      <c r="D15" s="38">
        <v>94522.834368450014</v>
      </c>
      <c r="E15" s="38">
        <v>49287.148881660003</v>
      </c>
      <c r="F15" s="38">
        <v>452.17513650000006</v>
      </c>
      <c r="G15" s="38">
        <v>33859.551777410001</v>
      </c>
      <c r="H15" s="38">
        <v>10358.09607532</v>
      </c>
      <c r="I15" s="38">
        <v>5131.4132036999999</v>
      </c>
      <c r="J15" s="38">
        <v>1662.7390497199999</v>
      </c>
      <c r="K15" s="38">
        <v>2328</v>
      </c>
      <c r="L15" s="38">
        <v>2207</v>
      </c>
      <c r="M15" s="38">
        <v>12368.77951864</v>
      </c>
      <c r="N15" s="38">
        <v>25002.059543830001</v>
      </c>
      <c r="O15" s="38">
        <v>14115.870680440001</v>
      </c>
      <c r="P15" s="38">
        <v>28592.789389199999</v>
      </c>
      <c r="Q15" s="38">
        <v>983.01477866999994</v>
      </c>
      <c r="R15" s="38">
        <v>36153.842281689998</v>
      </c>
      <c r="S15" s="38">
        <v>12065.149954530003</v>
      </c>
      <c r="T15" s="38">
        <v>2811.8710808000005</v>
      </c>
      <c r="U15" s="38">
        <v>8.146000000000001E-5</v>
      </c>
      <c r="V15" s="38">
        <v>1.8643066799999997</v>
      </c>
      <c r="W15" s="38">
        <v>3692.3050060499995</v>
      </c>
      <c r="X15" s="38">
        <v>72.345438060000021</v>
      </c>
      <c r="Y15" s="38">
        <v>44938.094651400002</v>
      </c>
      <c r="Z15" s="38">
        <v>66771.786043269996</v>
      </c>
      <c r="AA15" s="38">
        <v>25518.84861764</v>
      </c>
      <c r="AB15" s="38">
        <v>12101.500108539998</v>
      </c>
      <c r="AC15" s="38">
        <v>5183.19989463</v>
      </c>
      <c r="AD15" s="38">
        <v>124.25312690000003</v>
      </c>
      <c r="AE15" s="38">
        <v>-13656.681153379996</v>
      </c>
    </row>
    <row r="16" spans="1:31" ht="15.75" x14ac:dyDescent="0.25">
      <c r="A16" s="27">
        <v>44013</v>
      </c>
      <c r="B16" s="38">
        <v>99374.491975189987</v>
      </c>
      <c r="C16" s="38">
        <v>8244.3061495000002</v>
      </c>
      <c r="D16" s="38">
        <v>94276.303131669993</v>
      </c>
      <c r="E16" s="38">
        <v>52958.592640930001</v>
      </c>
      <c r="F16" s="38">
        <v>583.99803060000011</v>
      </c>
      <c r="G16" s="38">
        <v>37020.017692339999</v>
      </c>
      <c r="H16" s="38">
        <v>21280.262845760004</v>
      </c>
      <c r="I16" s="38">
        <v>5168.1211033499994</v>
      </c>
      <c r="J16" s="38">
        <v>1237.4174183799998</v>
      </c>
      <c r="K16" s="38">
        <v>3050</v>
      </c>
      <c r="L16" s="38">
        <v>3104</v>
      </c>
      <c r="M16" s="38">
        <v>16467.212433000004</v>
      </c>
      <c r="N16" s="38">
        <v>9240.1901209999996</v>
      </c>
      <c r="O16" s="38">
        <v>20017.89405934</v>
      </c>
      <c r="P16" s="38">
        <v>26483.907384699996</v>
      </c>
      <c r="Q16" s="38">
        <v>1146.81413376</v>
      </c>
      <c r="R16" s="38">
        <v>33034.166956840003</v>
      </c>
      <c r="S16" s="38">
        <v>12702.591103430001</v>
      </c>
      <c r="T16" s="38">
        <v>2910.0776817800001</v>
      </c>
      <c r="U16" s="38">
        <v>9.2865999999999999E-4</v>
      </c>
      <c r="V16" s="38">
        <v>1.4905966299999995</v>
      </c>
      <c r="W16" s="38">
        <v>4668.1102919599998</v>
      </c>
      <c r="X16" s="38">
        <v>83.651724160000015</v>
      </c>
      <c r="Y16" s="38">
        <v>60954.745754700016</v>
      </c>
      <c r="Z16" s="38">
        <v>86236.866803299985</v>
      </c>
      <c r="AA16" s="38">
        <v>36202.234478020007</v>
      </c>
      <c r="AB16" s="38">
        <v>15854.569063639996</v>
      </c>
      <c r="AC16" s="38">
        <v>4862.7534716600012</v>
      </c>
      <c r="AD16" s="38">
        <v>118.03741588999998</v>
      </c>
      <c r="AE16" s="38">
        <v>-48.754327459996233</v>
      </c>
    </row>
    <row r="17" spans="1:31" ht="15.75" x14ac:dyDescent="0.25">
      <c r="A17" s="27">
        <v>44044</v>
      </c>
      <c r="B17" s="38">
        <v>133109.70666448001</v>
      </c>
      <c r="C17" s="38">
        <v>8005.5390427900002</v>
      </c>
      <c r="D17" s="38">
        <v>107902.97734052999</v>
      </c>
      <c r="E17" s="38">
        <v>55373.731571539996</v>
      </c>
      <c r="F17" s="38">
        <v>94.75470900000002</v>
      </c>
      <c r="G17" s="38">
        <v>38506.078882039998</v>
      </c>
      <c r="H17" s="38">
        <v>7117.5592904100013</v>
      </c>
      <c r="I17" s="38">
        <v>6224.837105409998</v>
      </c>
      <c r="J17" s="38">
        <v>1143.22887158</v>
      </c>
      <c r="K17" s="38">
        <v>5300</v>
      </c>
      <c r="L17" s="38">
        <v>3000</v>
      </c>
      <c r="M17" s="38">
        <v>18818.549407630006</v>
      </c>
      <c r="N17" s="38">
        <v>43879.384260339997</v>
      </c>
      <c r="O17" s="38">
        <v>21888.51761273</v>
      </c>
      <c r="P17" s="38">
        <v>24737.931765400008</v>
      </c>
      <c r="Q17" s="38">
        <v>1853.7008924999998</v>
      </c>
      <c r="R17" s="38">
        <v>37023.406808849999</v>
      </c>
      <c r="S17" s="38">
        <v>13524.281477289998</v>
      </c>
      <c r="T17" s="38">
        <v>3001.1808376899994</v>
      </c>
      <c r="U17" s="38">
        <v>7.8760000000000012E-5</v>
      </c>
      <c r="V17" s="38">
        <v>1.4285174599999992</v>
      </c>
      <c r="W17" s="38">
        <v>4780.0092973500005</v>
      </c>
      <c r="X17" s="38">
        <v>74.395447039999993</v>
      </c>
      <c r="Y17" s="38">
        <v>48599.49123746001</v>
      </c>
      <c r="Z17" s="38">
        <v>70564.222787949999</v>
      </c>
      <c r="AA17" s="38">
        <v>27179.778976060006</v>
      </c>
      <c r="AB17" s="38">
        <v>12449.11134304</v>
      </c>
      <c r="AC17" s="38">
        <v>4307.3957691699998</v>
      </c>
      <c r="AD17" s="38">
        <v>125.50207965000001</v>
      </c>
      <c r="AE17" s="38">
        <v>2012.6334145800008</v>
      </c>
    </row>
    <row r="18" spans="1:31" ht="15.75" x14ac:dyDescent="0.25">
      <c r="A18" s="27">
        <v>44075</v>
      </c>
      <c r="B18" s="38">
        <v>111463.37020509002</v>
      </c>
      <c r="C18" s="38">
        <v>9181.2766932600007</v>
      </c>
      <c r="D18" s="38">
        <v>109002.83715059</v>
      </c>
      <c r="E18" s="38">
        <v>66806.331979900002</v>
      </c>
      <c r="F18" s="38">
        <v>578.51648020000005</v>
      </c>
      <c r="G18" s="38">
        <v>40405.768754320001</v>
      </c>
      <c r="H18" s="38">
        <v>10239.27817903</v>
      </c>
      <c r="I18" s="38">
        <v>6302.7936558799993</v>
      </c>
      <c r="J18" s="38">
        <v>1110.0920418399999</v>
      </c>
      <c r="K18" s="38">
        <v>4943.3</v>
      </c>
      <c r="L18" s="38">
        <v>3695.6</v>
      </c>
      <c r="M18" s="38">
        <v>20198.701719140001</v>
      </c>
      <c r="N18" s="38">
        <v>23006.235724339997</v>
      </c>
      <c r="O18" s="38">
        <v>208579.777867</v>
      </c>
      <c r="P18" s="38">
        <v>25437.183040600001</v>
      </c>
      <c r="Q18" s="38">
        <v>1650.7822984299996</v>
      </c>
      <c r="R18" s="38">
        <v>46358.877659229991</v>
      </c>
      <c r="S18" s="38">
        <v>16222.46631817</v>
      </c>
      <c r="T18" s="38">
        <v>3563.1242861599994</v>
      </c>
      <c r="U18" s="38">
        <v>7.8650000000000014E-5</v>
      </c>
      <c r="V18" s="38">
        <v>1.0863359500000001</v>
      </c>
      <c r="W18" s="38">
        <v>5732.0087573800001</v>
      </c>
      <c r="X18" s="38">
        <v>73.168001049999987</v>
      </c>
      <c r="Y18" s="38">
        <v>51132.038310759992</v>
      </c>
      <c r="Z18" s="38">
        <v>73304.910534289986</v>
      </c>
      <c r="AA18" s="38">
        <v>26915.441262869994</v>
      </c>
      <c r="AB18" s="38">
        <v>12584.253248189998</v>
      </c>
      <c r="AC18" s="38">
        <v>4412.1240580399999</v>
      </c>
      <c r="AD18" s="38">
        <v>114.96221253999998</v>
      </c>
      <c r="AE18" s="38">
        <v>2181.6026162799976</v>
      </c>
    </row>
    <row r="19" spans="1:31" ht="15.75" x14ac:dyDescent="0.25">
      <c r="A19" s="27">
        <v>44105</v>
      </c>
      <c r="B19" s="38">
        <v>131034.67466239999</v>
      </c>
      <c r="C19" s="38">
        <v>9635.6904640699995</v>
      </c>
      <c r="D19" s="38">
        <v>123231.56377632997</v>
      </c>
      <c r="E19" s="38">
        <v>68524.174681230012</v>
      </c>
      <c r="F19" s="38">
        <v>46.712997090000002</v>
      </c>
      <c r="G19" s="38">
        <v>42743.130980540001</v>
      </c>
      <c r="H19" s="38">
        <v>7585.5483022199996</v>
      </c>
      <c r="I19" s="38">
        <v>6560.3182023299996</v>
      </c>
      <c r="J19" s="38">
        <v>1241.5718001700002</v>
      </c>
      <c r="K19" s="38">
        <v>3738</v>
      </c>
      <c r="L19" s="38">
        <v>3032</v>
      </c>
      <c r="M19" s="38">
        <v>17267.769211020001</v>
      </c>
      <c r="N19" s="38">
        <v>38883.879896419989</v>
      </c>
      <c r="O19" s="38">
        <v>8527.0818185599983</v>
      </c>
      <c r="P19" s="38">
        <v>2533.8149177</v>
      </c>
      <c r="Q19" s="38">
        <v>1718.8014056399995</v>
      </c>
      <c r="R19" s="38">
        <v>39471.775785669997</v>
      </c>
      <c r="S19" s="38">
        <v>17044.222118769998</v>
      </c>
      <c r="T19" s="38">
        <v>3668.6815908899998</v>
      </c>
      <c r="U19" s="38">
        <v>7.8650000000000014E-5</v>
      </c>
      <c r="V19" s="38">
        <v>1.2173470799999999</v>
      </c>
      <c r="W19" s="38">
        <v>5990.7622424700003</v>
      </c>
      <c r="X19" s="38">
        <v>116.69931559</v>
      </c>
      <c r="Y19" s="38">
        <v>52870.817899230002</v>
      </c>
      <c r="Z19" s="38">
        <v>74299.166399329988</v>
      </c>
      <c r="AA19" s="38">
        <v>27416.733324409997</v>
      </c>
      <c r="AB19" s="38">
        <v>13199.964712639996</v>
      </c>
      <c r="AC19" s="38">
        <v>4374.3237329799986</v>
      </c>
      <c r="AD19" s="38">
        <v>121.98737159000001</v>
      </c>
      <c r="AE19" s="38">
        <v>3576.6382797999904</v>
      </c>
    </row>
    <row r="20" spans="1:31" ht="15.75" x14ac:dyDescent="0.25">
      <c r="A20" s="27">
        <v>44136</v>
      </c>
      <c r="B20" s="38">
        <v>146786.67196075001</v>
      </c>
      <c r="C20" s="38">
        <v>9815.1111176300037</v>
      </c>
      <c r="D20" s="38">
        <v>123604.38635915999</v>
      </c>
      <c r="E20" s="38">
        <v>71365.294361179986</v>
      </c>
      <c r="F20" s="38">
        <v>1.3850734599999985</v>
      </c>
      <c r="G20" s="38">
        <v>45499.905702139986</v>
      </c>
      <c r="H20" s="38">
        <v>10472.08110356</v>
      </c>
      <c r="I20" s="38">
        <v>7061.3074733699996</v>
      </c>
      <c r="J20" s="38">
        <v>1460.2007773799999</v>
      </c>
      <c r="K20" s="38">
        <v>2600</v>
      </c>
      <c r="L20" s="38">
        <v>2600</v>
      </c>
      <c r="M20" s="38">
        <v>18835.628451190001</v>
      </c>
      <c r="N20" s="38">
        <v>19511.439884729996</v>
      </c>
      <c r="O20" s="38">
        <v>8480.1199793000014</v>
      </c>
      <c r="P20" s="38">
        <v>2558.9069304300001</v>
      </c>
      <c r="Q20" s="38">
        <v>1852.95133504</v>
      </c>
      <c r="R20" s="38">
        <v>40259.48146367001</v>
      </c>
      <c r="S20" s="38">
        <v>17230.879886850002</v>
      </c>
      <c r="T20" s="38">
        <v>3589.8779512799997</v>
      </c>
      <c r="U20" s="38">
        <v>7.8650000000000014E-5</v>
      </c>
      <c r="V20" s="38">
        <v>1.3989388399999998</v>
      </c>
      <c r="W20" s="38">
        <v>5953.2699998100006</v>
      </c>
      <c r="X20" s="38">
        <v>138.45173993000003</v>
      </c>
      <c r="Y20" s="38">
        <v>52722.367405789999</v>
      </c>
      <c r="Z20" s="38">
        <v>75789.513623880033</v>
      </c>
      <c r="AA20" s="38">
        <v>28455.568285320001</v>
      </c>
      <c r="AB20" s="38">
        <v>13248.754303439999</v>
      </c>
      <c r="AC20" s="38">
        <v>4421.5021249599995</v>
      </c>
      <c r="AD20" s="38">
        <v>120.19467633000004</v>
      </c>
      <c r="AE20" s="38">
        <v>-1803.8386730700008</v>
      </c>
    </row>
    <row r="21" spans="1:31" ht="15.75" x14ac:dyDescent="0.25">
      <c r="A21" s="27">
        <v>44166</v>
      </c>
      <c r="B21" s="38">
        <v>156324.72549403997</v>
      </c>
      <c r="C21" s="38">
        <v>10562.769606839998</v>
      </c>
      <c r="D21" s="38">
        <v>132324.34826564</v>
      </c>
      <c r="E21" s="38">
        <v>77760.502544380011</v>
      </c>
      <c r="F21" s="38">
        <v>31.346418749999994</v>
      </c>
      <c r="G21" s="38">
        <v>46620.958325700005</v>
      </c>
      <c r="H21" s="38">
        <v>9974.5259021499987</v>
      </c>
      <c r="I21" s="38">
        <v>6654.1710509099994</v>
      </c>
      <c r="J21" s="38">
        <v>1352.42792102</v>
      </c>
      <c r="K21" s="38">
        <v>6100</v>
      </c>
      <c r="L21" s="38">
        <v>3010</v>
      </c>
      <c r="M21" s="38">
        <v>28217.073753600002</v>
      </c>
      <c r="N21" s="38">
        <v>26290.272760890002</v>
      </c>
      <c r="O21" s="38">
        <v>7494.7613821399991</v>
      </c>
      <c r="P21" s="38">
        <v>2673.9021353600001</v>
      </c>
      <c r="Q21" s="38">
        <v>2213.0619339</v>
      </c>
      <c r="R21" s="38">
        <v>28338.165086839988</v>
      </c>
      <c r="S21" s="38">
        <v>19864.906204109997</v>
      </c>
      <c r="T21" s="38">
        <v>3783.3207375099996</v>
      </c>
      <c r="U21" s="38">
        <v>4.4972999999999996E-4</v>
      </c>
      <c r="V21" s="38">
        <v>2.7816860300000004</v>
      </c>
      <c r="W21" s="38">
        <v>6155.2085266599997</v>
      </c>
      <c r="X21" s="38">
        <v>137.80869938000001</v>
      </c>
      <c r="Y21" s="38">
        <v>54929.823064149983</v>
      </c>
      <c r="Z21" s="38">
        <v>78785.676822520007</v>
      </c>
      <c r="AA21" s="38">
        <v>29386.114603350001</v>
      </c>
      <c r="AB21" s="38">
        <v>13711.758158660001</v>
      </c>
      <c r="AC21" s="38">
        <v>4515.1664454300007</v>
      </c>
      <c r="AD21" s="38">
        <v>122.88109649</v>
      </c>
      <c r="AE21" s="38">
        <v>-4419.5704633799942</v>
      </c>
    </row>
    <row r="22" spans="1:31" ht="15.75" x14ac:dyDescent="0.25">
      <c r="A22" s="27">
        <v>44197</v>
      </c>
      <c r="B22" s="38">
        <v>138275.728</v>
      </c>
      <c r="C22" s="38">
        <v>11309.181920000001</v>
      </c>
      <c r="D22" s="39">
        <v>157595.06635565002</v>
      </c>
      <c r="E22" s="39">
        <v>82736.538815619992</v>
      </c>
      <c r="F22" s="39">
        <v>47.825704730000012</v>
      </c>
      <c r="G22" s="39">
        <v>48171.015048909998</v>
      </c>
      <c r="H22" s="39">
        <v>10187.77412143</v>
      </c>
      <c r="I22" s="39">
        <v>7589.6503439999997</v>
      </c>
      <c r="J22" s="39">
        <v>1449.5916239000003</v>
      </c>
      <c r="K22" s="39">
        <v>7500</v>
      </c>
      <c r="L22" s="39">
        <v>5500</v>
      </c>
      <c r="M22" s="39">
        <v>18992.34089924</v>
      </c>
      <c r="N22" s="39">
        <v>5652.2667371000007</v>
      </c>
      <c r="O22" s="39">
        <v>8347.366088859997</v>
      </c>
      <c r="P22" s="39">
        <v>2127.6052116999999</v>
      </c>
      <c r="Q22" s="39">
        <v>2365.2076662900004</v>
      </c>
      <c r="R22" s="39">
        <v>79423.220347680006</v>
      </c>
      <c r="S22" s="39">
        <v>20249.20135716</v>
      </c>
      <c r="T22" s="39">
        <v>4193.0436447399998</v>
      </c>
      <c r="U22" s="39">
        <v>7.0706999999999996E-4</v>
      </c>
      <c r="V22" s="39">
        <v>1.1417261300000001</v>
      </c>
      <c r="W22" s="39">
        <v>6245.8526021999996</v>
      </c>
      <c r="X22" s="39">
        <v>163.47136287000001</v>
      </c>
      <c r="Y22" s="39">
        <v>77305.326266899996</v>
      </c>
      <c r="Z22" s="39">
        <v>111445.12033049999</v>
      </c>
      <c r="AA22" s="39">
        <v>43602.736739849999</v>
      </c>
      <c r="AB22" s="39">
        <v>19246.59763452</v>
      </c>
      <c r="AC22" s="39">
        <v>4578.2178127400011</v>
      </c>
      <c r="AD22" s="39">
        <v>120.85498691999999</v>
      </c>
      <c r="AE22" s="39">
        <v>-1025.8632619199939</v>
      </c>
    </row>
    <row r="23" spans="1:31" ht="15.75" x14ac:dyDescent="0.25">
      <c r="A23" s="27">
        <v>44228</v>
      </c>
      <c r="B23" s="40">
        <v>136010.04721386996</v>
      </c>
      <c r="C23" s="40">
        <v>10906.922821189995</v>
      </c>
      <c r="D23" s="40">
        <v>139813.25436533999</v>
      </c>
      <c r="E23" s="40">
        <v>75830.12213665001</v>
      </c>
      <c r="F23" s="40">
        <v>48.481094189999993</v>
      </c>
      <c r="G23" s="40">
        <v>45790.391071800004</v>
      </c>
      <c r="H23" s="40">
        <v>11602.04127951</v>
      </c>
      <c r="I23" s="40">
        <v>8384.7021273199989</v>
      </c>
      <c r="J23" s="40">
        <v>1442.8896564899999</v>
      </c>
      <c r="K23" s="40">
        <v>3600</v>
      </c>
      <c r="L23" s="40">
        <v>4800</v>
      </c>
      <c r="M23" s="40">
        <v>25074.104923909999</v>
      </c>
      <c r="N23" s="40">
        <v>21124.71153556</v>
      </c>
      <c r="O23" s="40">
        <v>5987.4015090699995</v>
      </c>
      <c r="P23" s="40">
        <v>2172.2578608500003</v>
      </c>
      <c r="Q23" s="40">
        <v>1950.74879147</v>
      </c>
      <c r="R23" s="40">
        <v>64433.960695959991</v>
      </c>
      <c r="S23" s="40">
        <v>18147.708351749996</v>
      </c>
      <c r="T23" s="40">
        <v>3560.0461948800007</v>
      </c>
      <c r="U23" s="40">
        <v>8.301000000000002E-5</v>
      </c>
      <c r="V23" s="40">
        <v>0.74030091000000009</v>
      </c>
      <c r="W23" s="40">
        <v>5878.2312416100012</v>
      </c>
      <c r="X23" s="40">
        <v>216.34578496000003</v>
      </c>
      <c r="Y23" s="40">
        <v>61931.553991850007</v>
      </c>
      <c r="Z23" s="40">
        <v>94059.453925379989</v>
      </c>
      <c r="AA23" s="40">
        <v>33683.650538860005</v>
      </c>
      <c r="AB23" s="40">
        <v>15289.034080529998</v>
      </c>
      <c r="AC23" s="40">
        <v>4434.9695333599993</v>
      </c>
      <c r="AD23" s="40">
        <v>125.3480631</v>
      </c>
      <c r="AE23" s="40">
        <v>-3056.9229656399998</v>
      </c>
    </row>
    <row r="24" spans="1:31" ht="15.75" x14ac:dyDescent="0.25">
      <c r="A24" s="27">
        <v>44256</v>
      </c>
      <c r="B24" s="40">
        <v>126543.38837998</v>
      </c>
      <c r="C24" s="40">
        <v>14297.073800869999</v>
      </c>
      <c r="D24" s="40">
        <v>150380.72904602002</v>
      </c>
      <c r="E24" s="40">
        <v>100209.42140148999</v>
      </c>
      <c r="F24" s="40">
        <v>-125.92286462999999</v>
      </c>
      <c r="G24" s="40">
        <v>49548.903359319993</v>
      </c>
      <c r="H24" s="40">
        <v>12652.116373199999</v>
      </c>
      <c r="I24" s="40">
        <v>8847.6248643100007</v>
      </c>
      <c r="J24" s="40">
        <v>1575.6654794600001</v>
      </c>
      <c r="K24" s="40">
        <v>3100</v>
      </c>
      <c r="L24" s="40">
        <v>4400</v>
      </c>
      <c r="M24" s="40">
        <v>23871.361915120004</v>
      </c>
      <c r="N24" s="40">
        <v>7290.5902694800016</v>
      </c>
      <c r="O24" s="40">
        <v>5785.8017011799993</v>
      </c>
      <c r="P24" s="40">
        <v>2471.5255962899996</v>
      </c>
      <c r="Q24" s="40">
        <v>2156.23638923</v>
      </c>
      <c r="R24" s="40">
        <v>71242.963893230015</v>
      </c>
      <c r="S24" s="40">
        <v>24217.119957879997</v>
      </c>
      <c r="T24" s="40">
        <v>4971.6994357999993</v>
      </c>
      <c r="U24" s="40">
        <v>0</v>
      </c>
      <c r="V24" s="40">
        <v>1.5896734699999999</v>
      </c>
      <c r="W24" s="40">
        <v>8126.9280006200006</v>
      </c>
      <c r="X24" s="40">
        <v>200.27149944999999</v>
      </c>
      <c r="Y24" s="40">
        <v>64181.548007090001</v>
      </c>
      <c r="Z24" s="40">
        <v>96004.590308439991</v>
      </c>
      <c r="AA24" s="40">
        <v>34806.454072439985</v>
      </c>
      <c r="AB24" s="40">
        <v>15970.813844050001</v>
      </c>
      <c r="AC24" s="40">
        <v>5139.9772009199996</v>
      </c>
      <c r="AD24" s="40">
        <v>127.95648388000001</v>
      </c>
      <c r="AE24" s="40">
        <v>4849.8497287500022</v>
      </c>
    </row>
    <row r="25" spans="1:31" ht="15.75" x14ac:dyDescent="0.25">
      <c r="A25" s="27">
        <v>44287</v>
      </c>
      <c r="B25" s="40">
        <v>131163.00849873002</v>
      </c>
      <c r="C25" s="40">
        <v>14816.698836099999</v>
      </c>
      <c r="D25" s="40">
        <v>164395.50900985999</v>
      </c>
      <c r="E25" s="40">
        <v>87902.822014010017</v>
      </c>
      <c r="F25" s="40">
        <v>1.7837760899999975</v>
      </c>
      <c r="G25" s="40">
        <v>57249.377574459992</v>
      </c>
      <c r="H25" s="40">
        <v>11820.04166588</v>
      </c>
      <c r="I25" s="40">
        <v>10240.754748220001</v>
      </c>
      <c r="J25" s="40">
        <v>1482.4519303300001</v>
      </c>
      <c r="K25" s="40">
        <v>1500</v>
      </c>
      <c r="L25" s="40">
        <v>5600</v>
      </c>
      <c r="M25" s="40">
        <v>27490.0230629</v>
      </c>
      <c r="N25" s="40">
        <v>33606.262861870004</v>
      </c>
      <c r="O25" s="40">
        <v>4961.9818340799993</v>
      </c>
      <c r="P25" s="40">
        <v>2526.3493248600003</v>
      </c>
      <c r="Q25" s="40">
        <v>2318.6557695800002</v>
      </c>
      <c r="R25" s="40">
        <v>79771.250312420016</v>
      </c>
      <c r="S25" s="40">
        <v>22287.156116380003</v>
      </c>
      <c r="T25" s="40">
        <v>4611.4110370500002</v>
      </c>
      <c r="U25" s="40">
        <v>7.8650000000000001E-5</v>
      </c>
      <c r="V25" s="40">
        <v>1.3542097200000003</v>
      </c>
      <c r="W25" s="40">
        <v>7332.0938924900001</v>
      </c>
      <c r="X25" s="40">
        <v>192.28727228999998</v>
      </c>
      <c r="Y25" s="40">
        <v>66503.70266201999</v>
      </c>
      <c r="Z25" s="40">
        <v>102660.00934366998</v>
      </c>
      <c r="AA25" s="40">
        <v>36150.264401699998</v>
      </c>
      <c r="AB25" s="40">
        <v>16577.546193899998</v>
      </c>
      <c r="AC25" s="40">
        <v>4748.9606863500003</v>
      </c>
      <c r="AD25" s="40">
        <v>154.88989532999997</v>
      </c>
      <c r="AE25" s="40">
        <v>-364.34023921000335</v>
      </c>
    </row>
    <row r="26" spans="1:31" ht="15.75" x14ac:dyDescent="0.25">
      <c r="A26" s="27">
        <v>44317</v>
      </c>
      <c r="B26" s="40">
        <v>199370.00751340998</v>
      </c>
      <c r="C26" s="40">
        <v>15178.157878030001</v>
      </c>
      <c r="D26" s="40">
        <v>151073.16555863002</v>
      </c>
      <c r="E26" s="40">
        <v>91320.675613719999</v>
      </c>
      <c r="F26" s="40">
        <v>28.602005289999997</v>
      </c>
      <c r="G26" s="40">
        <v>58540.133675669997</v>
      </c>
      <c r="H26" s="40">
        <v>11344.218227059999</v>
      </c>
      <c r="I26" s="40">
        <v>6612.7294339500004</v>
      </c>
      <c r="J26" s="40">
        <v>1533.6950028800002</v>
      </c>
      <c r="K26" s="40">
        <v>2700</v>
      </c>
      <c r="L26" s="40">
        <v>4850</v>
      </c>
      <c r="M26" s="40">
        <v>24773.534753329997</v>
      </c>
      <c r="N26" s="40">
        <v>5241.0278307299996</v>
      </c>
      <c r="O26" s="40">
        <v>5497.2183250099979</v>
      </c>
      <c r="P26" s="40">
        <v>2488.4533603</v>
      </c>
      <c r="Q26" s="40">
        <v>3029.9467163099998</v>
      </c>
      <c r="R26" s="40">
        <v>91034.467101689996</v>
      </c>
      <c r="S26" s="40">
        <v>21543.065139659997</v>
      </c>
      <c r="T26" s="40">
        <v>4822.9795237999988</v>
      </c>
      <c r="U26" s="40">
        <v>7.8650000000000001E-5</v>
      </c>
      <c r="V26" s="40">
        <v>0.83632721000000021</v>
      </c>
      <c r="W26" s="40">
        <v>7615.8330548399999</v>
      </c>
      <c r="X26" s="40">
        <v>236.73277174000003</v>
      </c>
      <c r="Y26" s="40">
        <v>69596.919299610017</v>
      </c>
      <c r="Z26" s="40">
        <v>104390.56606179003</v>
      </c>
      <c r="AA26" s="40">
        <v>36482.601571040002</v>
      </c>
      <c r="AB26" s="40">
        <v>16377.873736479998</v>
      </c>
      <c r="AC26" s="40">
        <v>4354.68245501</v>
      </c>
      <c r="AD26" s="40">
        <v>154.75652521000004</v>
      </c>
      <c r="AE26" s="40">
        <v>4363.5487250799924</v>
      </c>
    </row>
    <row r="27" spans="1:31" ht="15.75" x14ac:dyDescent="0.25">
      <c r="A27" s="27">
        <v>44348</v>
      </c>
      <c r="B27" s="40">
        <v>203032.52482878001</v>
      </c>
      <c r="C27" s="40">
        <v>18224.07290847</v>
      </c>
      <c r="D27" s="40">
        <v>155695.34372668</v>
      </c>
      <c r="E27" s="40">
        <v>109030.15410033998</v>
      </c>
      <c r="F27" s="40">
        <v>85.170021899999995</v>
      </c>
      <c r="G27" s="40">
        <v>58795.289991789999</v>
      </c>
      <c r="H27" s="40">
        <v>10530.150206160002</v>
      </c>
      <c r="I27" s="40">
        <v>9855.5556258500019</v>
      </c>
      <c r="J27" s="40">
        <v>1299.33674924</v>
      </c>
      <c r="K27" s="40">
        <v>3000</v>
      </c>
      <c r="L27" s="40">
        <v>3000</v>
      </c>
      <c r="M27" s="40">
        <v>27291.595336249993</v>
      </c>
      <c r="N27" s="40">
        <v>42034.154378359999</v>
      </c>
      <c r="O27" s="40">
        <v>6857.2054994900009</v>
      </c>
      <c r="P27" s="40">
        <v>1969.1682360299997</v>
      </c>
      <c r="Q27" s="40">
        <v>2517.5958423000002</v>
      </c>
      <c r="R27" s="40">
        <v>86235.572623860004</v>
      </c>
      <c r="S27" s="40">
        <v>26079.019582879999</v>
      </c>
      <c r="T27" s="40">
        <v>5871.8675526300003</v>
      </c>
      <c r="U27" s="40">
        <v>7.8650000000000001E-5</v>
      </c>
      <c r="V27" s="40">
        <v>0.43355984000000014</v>
      </c>
      <c r="W27" s="40">
        <v>8995.6108359499995</v>
      </c>
      <c r="X27" s="40">
        <v>294.71170422999995</v>
      </c>
      <c r="Y27" s="40">
        <v>69358.24792016999</v>
      </c>
      <c r="Z27" s="40">
        <v>102780.43317264999</v>
      </c>
      <c r="AA27" s="40">
        <v>37270.152495980001</v>
      </c>
      <c r="AB27" s="40">
        <v>17106.103800980003</v>
      </c>
      <c r="AC27" s="40">
        <v>4452.8500720399998</v>
      </c>
      <c r="AD27" s="40">
        <v>159.98691432000001</v>
      </c>
      <c r="AE27" s="40">
        <v>-8730.1308085599994</v>
      </c>
    </row>
    <row r="28" spans="1:31" ht="15.75" x14ac:dyDescent="0.25">
      <c r="A28" s="27">
        <v>44378</v>
      </c>
      <c r="B28" s="40">
        <v>163634.73176534998</v>
      </c>
      <c r="C28" s="40">
        <v>17680.607325790003</v>
      </c>
      <c r="D28" s="40">
        <v>167756.05348888997</v>
      </c>
      <c r="E28" s="40">
        <v>105772.10723632001</v>
      </c>
      <c r="F28" s="40">
        <v>41.388769549999999</v>
      </c>
      <c r="G28" s="40">
        <v>67216.013040380014</v>
      </c>
      <c r="H28" s="40">
        <v>11247.778113960001</v>
      </c>
      <c r="I28" s="40">
        <v>7881.3999101099998</v>
      </c>
      <c r="J28" s="40">
        <v>1401.6224191199999</v>
      </c>
      <c r="K28" s="40">
        <v>4000</v>
      </c>
      <c r="L28" s="40">
        <v>5000</v>
      </c>
      <c r="M28" s="40">
        <v>30505.093388679994</v>
      </c>
      <c r="N28" s="40">
        <v>7926.9676128599976</v>
      </c>
      <c r="O28" s="40">
        <v>9986.5015263999976</v>
      </c>
      <c r="P28" s="40">
        <v>2624.4811725599993</v>
      </c>
      <c r="Q28" s="40">
        <v>2847.51994113</v>
      </c>
      <c r="R28" s="40">
        <v>76592.51978456002</v>
      </c>
      <c r="S28" s="40">
        <v>24999.09910494</v>
      </c>
      <c r="T28" s="40">
        <v>5643.3836348199993</v>
      </c>
      <c r="U28" s="40">
        <v>7.8650000000000001E-5</v>
      </c>
      <c r="V28" s="40">
        <v>0.35924670000000009</v>
      </c>
      <c r="W28" s="40">
        <v>8619.7149572900016</v>
      </c>
      <c r="X28" s="40">
        <v>208.22200302000002</v>
      </c>
      <c r="Y28" s="40">
        <v>98012.416621869983</v>
      </c>
      <c r="Z28" s="40">
        <v>142865.39433149999</v>
      </c>
      <c r="AA28" s="40">
        <v>55308.153129640006</v>
      </c>
      <c r="AB28" s="40">
        <v>23890.303376300002</v>
      </c>
      <c r="AC28" s="40">
        <v>5323.4964343800002</v>
      </c>
      <c r="AD28" s="40">
        <v>158.76467151999998</v>
      </c>
      <c r="AE28" s="40">
        <v>-1421.0421448000052</v>
      </c>
    </row>
    <row r="29" spans="1:31" ht="15.75" x14ac:dyDescent="0.25">
      <c r="A29" s="27">
        <v>44409</v>
      </c>
      <c r="B29" s="40">
        <v>214226.41157381001</v>
      </c>
      <c r="C29" s="40">
        <v>17106.106294870002</v>
      </c>
      <c r="D29" s="40">
        <v>179940.90807256001</v>
      </c>
      <c r="E29" s="40">
        <v>103917.80168835001</v>
      </c>
      <c r="F29" s="40">
        <v>22.107021590000002</v>
      </c>
      <c r="G29" s="40">
        <v>63923.252641600004</v>
      </c>
      <c r="H29" s="40">
        <v>12003.969136239997</v>
      </c>
      <c r="I29" s="40">
        <v>9411.3880665299985</v>
      </c>
      <c r="J29" s="40">
        <v>1607.3034430300002</v>
      </c>
      <c r="K29" s="40">
        <v>6000</v>
      </c>
      <c r="L29" s="40">
        <v>5200</v>
      </c>
      <c r="M29" s="40">
        <v>34687.108327260008</v>
      </c>
      <c r="N29" s="40">
        <v>53726.711741350016</v>
      </c>
      <c r="O29" s="40">
        <v>8705.1441955999981</v>
      </c>
      <c r="P29" s="40">
        <v>3812.5992305699997</v>
      </c>
      <c r="Q29" s="40">
        <v>2995.9587037400006</v>
      </c>
      <c r="R29" s="40">
        <v>85873.25903755</v>
      </c>
      <c r="S29" s="40">
        <v>24373.843847640001</v>
      </c>
      <c r="T29" s="40">
        <v>5491.6926570099995</v>
      </c>
      <c r="U29" s="40">
        <v>8.1709000000000003E-4</v>
      </c>
      <c r="V29" s="40">
        <v>0.73334116000000005</v>
      </c>
      <c r="W29" s="40">
        <v>8486.302351190001</v>
      </c>
      <c r="X29" s="40">
        <v>117.34410214000002</v>
      </c>
      <c r="Y29" s="40">
        <v>79298.088948820005</v>
      </c>
      <c r="Z29" s="40">
        <v>115722.82248770003</v>
      </c>
      <c r="AA29" s="40">
        <v>41888.684084049986</v>
      </c>
      <c r="AB29" s="40">
        <v>19304.004614289999</v>
      </c>
      <c r="AC29" s="40">
        <v>6933.5284486799983</v>
      </c>
      <c r="AD29" s="40">
        <v>161.02092672000006</v>
      </c>
      <c r="AE29" s="40">
        <v>98.214519079989259</v>
      </c>
    </row>
    <row r="30" spans="1:31" ht="15.75" x14ac:dyDescent="0.25">
      <c r="A30" s="27">
        <v>44440</v>
      </c>
      <c r="B30" s="40">
        <v>185371.90961897999</v>
      </c>
      <c r="C30" s="40">
        <v>19808.206693689997</v>
      </c>
      <c r="D30" s="40">
        <v>192590.05168883997</v>
      </c>
      <c r="E30" s="40">
        <v>118184.59718745999</v>
      </c>
      <c r="F30" s="40">
        <v>4.7575331499999978</v>
      </c>
      <c r="G30" s="40">
        <v>72892.620130690004</v>
      </c>
      <c r="H30" s="40">
        <v>12221.398381569999</v>
      </c>
      <c r="I30" s="40">
        <v>10341.200167320001</v>
      </c>
      <c r="J30" s="40">
        <v>1533.7412449200001</v>
      </c>
      <c r="K30" s="40">
        <v>7000</v>
      </c>
      <c r="L30" s="40">
        <v>7000</v>
      </c>
      <c r="M30" s="40">
        <v>35103.565532840003</v>
      </c>
      <c r="N30" s="40">
        <v>18103.196056339999</v>
      </c>
      <c r="O30" s="40">
        <v>9599.7637481199981</v>
      </c>
      <c r="P30" s="40">
        <v>2852.0194754600002</v>
      </c>
      <c r="Q30" s="40">
        <v>2796.1993064899998</v>
      </c>
      <c r="R30" s="40">
        <v>73692.079965209996</v>
      </c>
      <c r="S30" s="40">
        <v>30201.789265569991</v>
      </c>
      <c r="T30" s="40">
        <v>6640.1623791300008</v>
      </c>
      <c r="U30" s="40">
        <v>2.9789999999999998E-4</v>
      </c>
      <c r="V30" s="40">
        <v>0.44360650000000013</v>
      </c>
      <c r="W30" s="40">
        <v>9819.8402406300011</v>
      </c>
      <c r="X30" s="40">
        <v>287.87248855000001</v>
      </c>
      <c r="Y30" s="40">
        <v>82845.232546960004</v>
      </c>
      <c r="Z30" s="40">
        <v>121128.72762079994</v>
      </c>
      <c r="AA30" s="40">
        <v>42299.869109479994</v>
      </c>
      <c r="AB30" s="40">
        <v>19629.843420680001</v>
      </c>
      <c r="AC30" s="40">
        <v>6549.4717980200003</v>
      </c>
      <c r="AD30" s="40">
        <v>163.15688784</v>
      </c>
      <c r="AE30" s="40">
        <v>-4593.5336754899727</v>
      </c>
    </row>
    <row r="31" spans="1:31" ht="15.75" x14ac:dyDescent="0.25">
      <c r="A31" s="27">
        <v>44470</v>
      </c>
      <c r="B31" s="40">
        <v>203234.80324844999</v>
      </c>
      <c r="C31" s="40">
        <v>18611.488289700002</v>
      </c>
      <c r="D31" s="40">
        <v>182586.05207071998</v>
      </c>
      <c r="E31" s="40">
        <v>113083.21068175</v>
      </c>
      <c r="F31" s="40">
        <v>-157.98181362000003</v>
      </c>
      <c r="G31" s="40">
        <v>70828.193985040023</v>
      </c>
      <c r="H31" s="40">
        <v>13008.437542150001</v>
      </c>
      <c r="I31" s="40">
        <v>10496.816525060001</v>
      </c>
      <c r="J31" s="40">
        <v>1711.4463961699998</v>
      </c>
      <c r="K31" s="40">
        <v>10000</v>
      </c>
      <c r="L31" s="40">
        <v>8000</v>
      </c>
      <c r="M31" s="40">
        <v>34206.912469619994</v>
      </c>
      <c r="N31" s="40">
        <v>38185.597390639989</v>
      </c>
      <c r="O31" s="40">
        <v>13299.322549239998</v>
      </c>
      <c r="P31" s="40">
        <v>2702.4658932900002</v>
      </c>
      <c r="Q31" s="40">
        <v>2855.3836574000006</v>
      </c>
      <c r="R31" s="40">
        <v>92819.807389549998</v>
      </c>
      <c r="S31" s="40">
        <v>28249.027672529999</v>
      </c>
      <c r="T31" s="40">
        <v>6162.2490116799991</v>
      </c>
      <c r="U31" s="40">
        <v>6.8179999999999998E-4</v>
      </c>
      <c r="V31" s="40">
        <v>4.5269909700000008</v>
      </c>
      <c r="W31" s="40">
        <v>9142.2163588999992</v>
      </c>
      <c r="X31" s="40">
        <v>200.95481357999995</v>
      </c>
      <c r="Y31" s="40">
        <v>84002.254152669993</v>
      </c>
      <c r="Z31" s="40">
        <v>122800.29006588999</v>
      </c>
      <c r="AA31" s="40">
        <v>43409.497482899998</v>
      </c>
      <c r="AB31" s="40">
        <v>19891.494189469999</v>
      </c>
      <c r="AC31" s="40">
        <v>6456.7840896499993</v>
      </c>
      <c r="AD31" s="40">
        <v>159.39268932000002</v>
      </c>
      <c r="AE31" s="40">
        <v>-2328.3104615499983</v>
      </c>
    </row>
    <row r="32" spans="1:31" ht="15.75" x14ac:dyDescent="0.25">
      <c r="A32" s="27">
        <v>44501</v>
      </c>
      <c r="B32" s="40">
        <v>208733.94535032002</v>
      </c>
      <c r="C32" s="40">
        <v>19516.026246009998</v>
      </c>
      <c r="D32" s="40">
        <v>192110.19425926</v>
      </c>
      <c r="E32" s="40">
        <v>127086.01642591</v>
      </c>
      <c r="F32" s="40">
        <v>28.884861220000001</v>
      </c>
      <c r="G32" s="40">
        <v>72197.85885977</v>
      </c>
      <c r="H32" s="40">
        <v>15019.502810889999</v>
      </c>
      <c r="I32" s="40">
        <v>12291.577632719998</v>
      </c>
      <c r="J32" s="40">
        <v>1881.2219403900003</v>
      </c>
      <c r="K32" s="40">
        <v>7000</v>
      </c>
      <c r="L32" s="40">
        <v>5600</v>
      </c>
      <c r="M32" s="40">
        <v>31144.005502039992</v>
      </c>
      <c r="N32" s="40">
        <v>13105.225710729999</v>
      </c>
      <c r="O32" s="40">
        <v>15309.821670390002</v>
      </c>
      <c r="P32" s="40">
        <v>2827.5161903700005</v>
      </c>
      <c r="Q32" s="40">
        <v>3406.7375624399997</v>
      </c>
      <c r="R32" s="40">
        <v>78674.132605249994</v>
      </c>
      <c r="S32" s="40">
        <v>29439.462716720005</v>
      </c>
      <c r="T32" s="40">
        <v>6337.7786333699996</v>
      </c>
      <c r="U32" s="40">
        <v>7.873E-5</v>
      </c>
      <c r="V32" s="40">
        <v>9.8377820000000005E-2</v>
      </c>
      <c r="W32" s="40">
        <v>9913.8123976099996</v>
      </c>
      <c r="X32" s="40">
        <v>252.95096494000001</v>
      </c>
      <c r="Y32" s="40">
        <v>87515.954401250012</v>
      </c>
      <c r="Z32" s="40">
        <v>128781.47492298001</v>
      </c>
      <c r="AA32" s="40">
        <v>45785.786764289995</v>
      </c>
      <c r="AB32" s="40">
        <v>21017.943312939999</v>
      </c>
      <c r="AC32" s="40">
        <v>5930.5616655700005</v>
      </c>
      <c r="AD32" s="40">
        <v>163.29868593999998</v>
      </c>
      <c r="AE32" s="40">
        <v>1682.532661219996</v>
      </c>
    </row>
    <row r="33" spans="1:31" ht="15.75" x14ac:dyDescent="0.25">
      <c r="A33" s="27">
        <v>44531</v>
      </c>
      <c r="B33" s="40">
        <v>236293.44398573998</v>
      </c>
      <c r="C33" s="40">
        <v>23301.634591209997</v>
      </c>
      <c r="D33" s="40">
        <v>213944.19343985996</v>
      </c>
      <c r="E33" s="40">
        <v>143054.22219087</v>
      </c>
      <c r="F33" s="40">
        <v>25.89360375</v>
      </c>
      <c r="G33" s="40">
        <v>85260.812315510004</v>
      </c>
      <c r="H33" s="40">
        <v>14560.562512119999</v>
      </c>
      <c r="I33" s="40">
        <v>12424.209308429998</v>
      </c>
      <c r="J33" s="40">
        <v>1822.34093783</v>
      </c>
      <c r="K33" s="40">
        <v>7000</v>
      </c>
      <c r="L33" s="40">
        <v>7000</v>
      </c>
      <c r="M33" s="40">
        <v>43132.936478809999</v>
      </c>
      <c r="N33" s="40">
        <v>32773.308556989999</v>
      </c>
      <c r="O33" s="40">
        <v>17100.099610640002</v>
      </c>
      <c r="P33" s="40">
        <v>2925.3200007600008</v>
      </c>
      <c r="Q33" s="40">
        <v>3478.6995190299999</v>
      </c>
      <c r="R33" s="40">
        <v>83324.158031069994</v>
      </c>
      <c r="S33" s="40">
        <v>35911.802152749995</v>
      </c>
      <c r="T33" s="40">
        <v>7005.9471701099992</v>
      </c>
      <c r="U33" s="40">
        <v>1.074898E-2</v>
      </c>
      <c r="V33" s="40">
        <v>1.8917219699999994</v>
      </c>
      <c r="W33" s="40">
        <v>11047.602448829999</v>
      </c>
      <c r="X33" s="40">
        <v>301.85900163000002</v>
      </c>
      <c r="Y33" s="40">
        <v>91554.928994630027</v>
      </c>
      <c r="Z33" s="40">
        <v>133326.87760761002</v>
      </c>
      <c r="AA33" s="40">
        <v>47262.677879279996</v>
      </c>
      <c r="AB33" s="40">
        <v>21503.571051169998</v>
      </c>
      <c r="AC33" s="40">
        <v>7112.9498980400003</v>
      </c>
      <c r="AD33" s="40">
        <v>169.19141562999999</v>
      </c>
      <c r="AE33" s="40">
        <v>14769.957772439999</v>
      </c>
    </row>
    <row r="34" spans="1:31" ht="15.75" x14ac:dyDescent="0.25">
      <c r="A34" s="27">
        <v>44562</v>
      </c>
      <c r="B34" s="40">
        <v>216209.15978269</v>
      </c>
      <c r="C34" s="40">
        <v>22410.692091229997</v>
      </c>
      <c r="D34" s="40">
        <v>228913.62184658</v>
      </c>
      <c r="E34" s="40">
        <v>131299.94968040002</v>
      </c>
      <c r="F34" s="40">
        <v>71.776258999999996</v>
      </c>
      <c r="G34" s="40">
        <v>79013.247847950013</v>
      </c>
      <c r="H34" s="40">
        <v>16572.005245110002</v>
      </c>
      <c r="I34" s="40">
        <v>12862.222489490003</v>
      </c>
      <c r="J34" s="40">
        <v>2132.2489240199998</v>
      </c>
      <c r="K34" s="40">
        <v>1000</v>
      </c>
      <c r="L34" s="40">
        <v>7000</v>
      </c>
      <c r="M34" s="40">
        <v>22962.366819770003</v>
      </c>
      <c r="N34" s="40">
        <v>5541.6198653799984</v>
      </c>
      <c r="O34" s="40">
        <v>16896.943598409998</v>
      </c>
      <c r="P34" s="40">
        <v>3444.9906572900004</v>
      </c>
      <c r="Q34" s="40">
        <v>3166.5592402900002</v>
      </c>
      <c r="R34" s="40">
        <v>68107.996954859991</v>
      </c>
      <c r="S34" s="40">
        <v>34339.467675950007</v>
      </c>
      <c r="T34" s="40">
        <v>6541.0073936500012</v>
      </c>
      <c r="U34" s="40">
        <v>7.8679999999999999E-5</v>
      </c>
      <c r="V34" s="40">
        <v>8.4776133800000029</v>
      </c>
      <c r="W34" s="40">
        <v>10381.2812954</v>
      </c>
      <c r="X34" s="40">
        <v>203.70938624000004</v>
      </c>
      <c r="Y34" s="40">
        <v>124603.81548310003</v>
      </c>
      <c r="Z34" s="40">
        <v>185200.49349672999</v>
      </c>
      <c r="AA34" s="40">
        <v>70757.443980229989</v>
      </c>
      <c r="AB34" s="40">
        <v>30221.974709269998</v>
      </c>
      <c r="AC34" s="40">
        <v>7420.5811649999987</v>
      </c>
      <c r="AD34" s="40">
        <v>159.67326899999995</v>
      </c>
      <c r="AE34" s="40">
        <v>-320.87056278000227</v>
      </c>
    </row>
    <row r="35" spans="1:31" ht="15.75" x14ac:dyDescent="0.25">
      <c r="A35" s="27">
        <v>44593</v>
      </c>
      <c r="B35" s="40">
        <v>222197.10153299995</v>
      </c>
      <c r="C35" s="40">
        <v>21153.429055059998</v>
      </c>
      <c r="D35" s="40">
        <v>216978.11722865002</v>
      </c>
      <c r="E35" s="40">
        <v>127747.11412738998</v>
      </c>
      <c r="F35" s="40">
        <v>37.413142229999998</v>
      </c>
      <c r="G35" s="40">
        <v>78225.030525719994</v>
      </c>
      <c r="H35" s="40">
        <v>15143.795395560001</v>
      </c>
      <c r="I35" s="40">
        <v>13208.718093219999</v>
      </c>
      <c r="J35" s="40">
        <v>1957.86226444</v>
      </c>
      <c r="K35" s="40">
        <v>9200</v>
      </c>
      <c r="L35" s="40">
        <v>7800</v>
      </c>
      <c r="M35" s="40">
        <v>31857.064129939998</v>
      </c>
      <c r="N35" s="40">
        <v>30404.484107780001</v>
      </c>
      <c r="O35" s="40">
        <v>19178.357653559997</v>
      </c>
      <c r="P35" s="40">
        <v>3632.9268656500003</v>
      </c>
      <c r="Q35" s="40">
        <v>3351.5545745299996</v>
      </c>
      <c r="R35" s="40">
        <v>110256.29476461999</v>
      </c>
      <c r="S35" s="40">
        <v>30537.112517040001</v>
      </c>
      <c r="T35" s="40">
        <v>5896.8185438199998</v>
      </c>
      <c r="U35" s="40">
        <v>7.8650000000000001E-5</v>
      </c>
      <c r="V35" s="40">
        <v>6.8606368299999989</v>
      </c>
      <c r="W35" s="40">
        <v>9711.0301766200009</v>
      </c>
      <c r="X35" s="40">
        <v>228.54740881999999</v>
      </c>
      <c r="Y35" s="40">
        <v>102260.30947522</v>
      </c>
      <c r="Z35" s="40">
        <v>156801.22921369001</v>
      </c>
      <c r="AA35" s="40">
        <v>54715.778394450004</v>
      </c>
      <c r="AB35" s="40">
        <v>23928.369226670002</v>
      </c>
      <c r="AC35" s="40">
        <v>7688.2739786700013</v>
      </c>
      <c r="AD35" s="40">
        <v>259.46023205</v>
      </c>
      <c r="AE35" s="40">
        <v>-6390.147902820001</v>
      </c>
    </row>
    <row r="36" spans="1:31" ht="15.75" x14ac:dyDescent="0.25">
      <c r="A36" s="27">
        <v>44621</v>
      </c>
      <c r="B36" s="40">
        <v>203040.21503028006</v>
      </c>
      <c r="C36" s="40">
        <v>28122.282368310007</v>
      </c>
      <c r="D36" s="40">
        <v>225265.93807108002</v>
      </c>
      <c r="E36" s="40">
        <v>168048.22690946996</v>
      </c>
      <c r="F36" s="40">
        <v>-12.586633259999997</v>
      </c>
      <c r="G36" s="40">
        <v>78603.718132140013</v>
      </c>
      <c r="H36" s="40">
        <v>11852.832675450001</v>
      </c>
      <c r="I36" s="40">
        <v>12857.193125299998</v>
      </c>
      <c r="J36" s="40">
        <v>1566.85350236</v>
      </c>
      <c r="K36" s="40">
        <v>9000</v>
      </c>
      <c r="L36" s="40">
        <v>6700</v>
      </c>
      <c r="M36" s="40">
        <v>28978.423164840005</v>
      </c>
      <c r="N36" s="40">
        <v>9567.0720788599992</v>
      </c>
      <c r="O36" s="40">
        <v>22823.001335250003</v>
      </c>
      <c r="P36" s="40">
        <v>3819.2252704499997</v>
      </c>
      <c r="Q36" s="40">
        <v>3299.4211390500004</v>
      </c>
      <c r="R36" s="40">
        <v>136587.36745369001</v>
      </c>
      <c r="S36" s="40">
        <v>39922.032828600015</v>
      </c>
      <c r="T36" s="40">
        <v>7902.5395216099996</v>
      </c>
      <c r="U36" s="40">
        <v>0.18197093</v>
      </c>
      <c r="V36" s="40">
        <v>0.45909607999999991</v>
      </c>
      <c r="W36" s="40">
        <v>12807.101356849998</v>
      </c>
      <c r="X36" s="40">
        <v>487.84507278000012</v>
      </c>
      <c r="Y36" s="40">
        <v>103275.38840269999</v>
      </c>
      <c r="Z36" s="40">
        <v>159132.20797458998</v>
      </c>
      <c r="AA36" s="40">
        <v>56972.640967950007</v>
      </c>
      <c r="AB36" s="40">
        <v>25963.563960669999</v>
      </c>
      <c r="AC36" s="40">
        <v>8527.3064485800005</v>
      </c>
      <c r="AD36" s="40">
        <v>175.3207974</v>
      </c>
      <c r="AE36" s="40">
        <v>10583.426257259995</v>
      </c>
    </row>
    <row r="37" spans="1:31" ht="15.75" x14ac:dyDescent="0.25">
      <c r="A37" s="27">
        <v>44652</v>
      </c>
      <c r="B37" s="40">
        <v>237218.51450444001</v>
      </c>
      <c r="C37" s="40">
        <v>28409.933114089992</v>
      </c>
      <c r="D37" s="40">
        <v>272509.05247787002</v>
      </c>
      <c r="E37" s="40">
        <v>157986.11316562997</v>
      </c>
      <c r="F37" s="40">
        <v>-14.822429679999994</v>
      </c>
      <c r="G37" s="40">
        <v>93996.120838689996</v>
      </c>
      <c r="H37" s="40">
        <v>13834.153815669999</v>
      </c>
      <c r="I37" s="40">
        <v>15517.278404709999</v>
      </c>
      <c r="J37" s="40">
        <v>1979.9272936099999</v>
      </c>
      <c r="K37" s="40">
        <v>6700</v>
      </c>
      <c r="L37" s="40">
        <v>5400</v>
      </c>
      <c r="M37" s="40">
        <v>30185.806480079998</v>
      </c>
      <c r="N37" s="40">
        <v>35402.512215739996</v>
      </c>
      <c r="O37" s="40">
        <v>23749.70527875</v>
      </c>
      <c r="P37" s="40">
        <v>3844.5615433199996</v>
      </c>
      <c r="Q37" s="40">
        <v>3369.8551466899999</v>
      </c>
      <c r="R37" s="40">
        <v>97228.983630479983</v>
      </c>
      <c r="S37" s="40">
        <v>36973.445049689995</v>
      </c>
      <c r="T37" s="40">
        <v>8118.7918818799999</v>
      </c>
      <c r="U37" s="40">
        <v>1.6206039999999998E-2</v>
      </c>
      <c r="V37" s="40">
        <v>23.136853050000003</v>
      </c>
      <c r="W37" s="40">
        <v>12076.723960280002</v>
      </c>
      <c r="X37" s="40">
        <v>413.39905506000002</v>
      </c>
      <c r="Y37" s="40">
        <v>113736.55809420001</v>
      </c>
      <c r="Z37" s="40">
        <v>177174.08861342006</v>
      </c>
      <c r="AA37" s="40">
        <v>60208.160777979996</v>
      </c>
      <c r="AB37" s="40">
        <v>26612.516367429991</v>
      </c>
      <c r="AC37" s="40">
        <v>8354.6732211300005</v>
      </c>
      <c r="AD37" s="40">
        <v>248.64487825999996</v>
      </c>
      <c r="AE37" s="40">
        <v>3005.482177040009</v>
      </c>
    </row>
    <row r="38" spans="1:31" ht="15.75" x14ac:dyDescent="0.25">
      <c r="A38" s="27">
        <v>44682</v>
      </c>
      <c r="B38" s="40">
        <v>404347.53558656998</v>
      </c>
      <c r="C38" s="40">
        <v>30283.599916160001</v>
      </c>
      <c r="D38" s="40">
        <v>251272.52203885</v>
      </c>
      <c r="E38" s="40">
        <v>170891.84956449</v>
      </c>
      <c r="F38" s="40">
        <v>-138.19141456</v>
      </c>
      <c r="G38" s="40">
        <v>92826.676626450004</v>
      </c>
      <c r="H38" s="40">
        <v>18406.155261370004</v>
      </c>
      <c r="I38" s="40">
        <v>14349.90410045</v>
      </c>
      <c r="J38" s="40">
        <v>2147.1279307099999</v>
      </c>
      <c r="K38" s="40">
        <v>5500</v>
      </c>
      <c r="L38" s="40">
        <v>6350</v>
      </c>
      <c r="M38" s="40">
        <v>37597.72619691999</v>
      </c>
      <c r="N38" s="40">
        <v>10420.948091390001</v>
      </c>
      <c r="O38" s="40">
        <v>23681.205490460001</v>
      </c>
      <c r="P38" s="40">
        <v>2503.0295324399999</v>
      </c>
      <c r="Q38" s="40">
        <v>4500.1459145399995</v>
      </c>
      <c r="R38" s="40">
        <v>130006.28992132998</v>
      </c>
      <c r="S38" s="40">
        <v>36907.742155700005</v>
      </c>
      <c r="T38" s="40">
        <v>8257.0656588700003</v>
      </c>
      <c r="U38" s="40">
        <v>0.92656352999999991</v>
      </c>
      <c r="V38" s="40">
        <v>5.9588296399999985</v>
      </c>
      <c r="W38" s="40">
        <v>12999.86657975</v>
      </c>
      <c r="X38" s="40">
        <v>581.42536772999995</v>
      </c>
      <c r="Y38" s="40">
        <v>121062.75266150998</v>
      </c>
      <c r="Z38" s="40">
        <v>182862.26637519995</v>
      </c>
      <c r="AA38" s="40">
        <v>62358.329033590009</v>
      </c>
      <c r="AB38" s="40">
        <v>27953.498586640002</v>
      </c>
      <c r="AC38" s="40">
        <v>8532.7492237599981</v>
      </c>
      <c r="AD38" s="40">
        <v>253.56524743000003</v>
      </c>
      <c r="AE38" s="40">
        <v>22285.892779260012</v>
      </c>
    </row>
    <row r="39" spans="1:31" ht="15.75" x14ac:dyDescent="0.25">
      <c r="A39" s="27">
        <v>44713</v>
      </c>
      <c r="B39" s="40">
        <v>430352.19989542995</v>
      </c>
      <c r="C39" s="40">
        <v>33755.029002840005</v>
      </c>
      <c r="D39" s="40">
        <v>278192.83299359999</v>
      </c>
      <c r="E39" s="40">
        <v>189580.48331410997</v>
      </c>
      <c r="F39" s="40">
        <v>66.320257319999996</v>
      </c>
      <c r="G39" s="40">
        <v>112115.53436315998</v>
      </c>
      <c r="H39" s="40">
        <v>14600.377837930002</v>
      </c>
      <c r="I39" s="40">
        <v>16466.089905769997</v>
      </c>
      <c r="J39" s="40">
        <v>1832.1148396900001</v>
      </c>
      <c r="K39" s="40">
        <v>2500</v>
      </c>
      <c r="L39" s="40">
        <v>2450</v>
      </c>
      <c r="M39" s="40">
        <v>36027.497089160002</v>
      </c>
      <c r="N39" s="40">
        <v>87520.753391220002</v>
      </c>
      <c r="O39" s="40">
        <v>24717.316981219999</v>
      </c>
      <c r="P39" s="40">
        <v>2767.4397509199989</v>
      </c>
      <c r="Q39" s="40">
        <v>3941.2242371299999</v>
      </c>
      <c r="R39" s="40">
        <v>95890.879564919989</v>
      </c>
      <c r="S39" s="40">
        <v>43276.36278309999</v>
      </c>
      <c r="T39" s="40">
        <v>9102.9988089100007</v>
      </c>
      <c r="U39" s="40">
        <v>8.1910000000000007E-5</v>
      </c>
      <c r="V39" s="40">
        <v>4.9762983099999998</v>
      </c>
      <c r="W39" s="40">
        <v>14593.626874310001</v>
      </c>
      <c r="X39" s="40">
        <v>351.17210087000007</v>
      </c>
      <c r="Y39" s="40">
        <v>124921.69030817001</v>
      </c>
      <c r="Z39" s="40">
        <v>188424.75709085003</v>
      </c>
      <c r="AA39" s="40">
        <v>64778.528270330004</v>
      </c>
      <c r="AB39" s="40">
        <v>29237.282961689998</v>
      </c>
      <c r="AC39" s="40">
        <v>8675.7488899599994</v>
      </c>
      <c r="AD39" s="40">
        <v>252.83223053000006</v>
      </c>
      <c r="AE39" s="40">
        <v>-9805.4154979699724</v>
      </c>
    </row>
    <row r="40" spans="1:31" ht="15.75" x14ac:dyDescent="0.25">
      <c r="A40" s="27">
        <v>44743</v>
      </c>
      <c r="B40" s="40">
        <v>364526.58391978004</v>
      </c>
      <c r="C40" s="40">
        <v>32232.59728365</v>
      </c>
      <c r="D40" s="40">
        <v>300978.53790165001</v>
      </c>
      <c r="E40" s="40">
        <v>197477.09648697</v>
      </c>
      <c r="F40" s="40">
        <v>54.329935519999999</v>
      </c>
      <c r="G40" s="40">
        <v>124478.98853497001</v>
      </c>
      <c r="H40" s="40">
        <v>13812.036866749999</v>
      </c>
      <c r="I40" s="40">
        <v>18024.565295089997</v>
      </c>
      <c r="J40" s="40">
        <v>2305.2053628999997</v>
      </c>
      <c r="K40" s="40">
        <v>7650</v>
      </c>
      <c r="L40" s="40">
        <v>6270</v>
      </c>
      <c r="M40" s="40">
        <v>34936.486015000002</v>
      </c>
      <c r="N40" s="40">
        <v>31773.770396190004</v>
      </c>
      <c r="O40" s="40">
        <v>41795.499796999989</v>
      </c>
      <c r="P40" s="40">
        <v>2773.0264516699995</v>
      </c>
      <c r="Q40" s="40">
        <v>4772.8336307600002</v>
      </c>
      <c r="R40" s="40">
        <v>110414.44785971001</v>
      </c>
      <c r="S40" s="40">
        <v>45163.402372200006</v>
      </c>
      <c r="T40" s="40">
        <v>9166.9281486700002</v>
      </c>
      <c r="U40" s="40">
        <v>7.8650000000000001E-5</v>
      </c>
      <c r="V40" s="40">
        <v>5.4938072900000003</v>
      </c>
      <c r="W40" s="40">
        <v>14376.27451003</v>
      </c>
      <c r="X40" s="40">
        <v>350.77058924999994</v>
      </c>
      <c r="Y40" s="40">
        <v>175041.80750926997</v>
      </c>
      <c r="Z40" s="40">
        <v>258211.16854336002</v>
      </c>
      <c r="AA40" s="40">
        <v>96317.582129209957</v>
      </c>
      <c r="AB40" s="40">
        <v>40372.658387340001</v>
      </c>
      <c r="AC40" s="40">
        <v>8557.2706604200011</v>
      </c>
      <c r="AD40" s="40">
        <v>253.35639593000005</v>
      </c>
      <c r="AE40" s="40">
        <v>-5541.369358130004</v>
      </c>
    </row>
    <row r="41" spans="1:31" ht="15.75" x14ac:dyDescent="0.25">
      <c r="A41" s="27">
        <v>44774</v>
      </c>
      <c r="B41" s="40">
        <v>385863.93574965996</v>
      </c>
      <c r="C41" s="40">
        <v>34176.40390153</v>
      </c>
      <c r="D41" s="40">
        <v>315223.88284275</v>
      </c>
      <c r="E41" s="40">
        <v>211382.4204993</v>
      </c>
      <c r="F41" s="40">
        <v>86.777043599999999</v>
      </c>
      <c r="G41" s="40">
        <v>116590.12999396001</v>
      </c>
      <c r="H41" s="40">
        <v>21562.641071079997</v>
      </c>
      <c r="I41" s="40">
        <v>19858.113789359999</v>
      </c>
      <c r="J41" s="40">
        <v>2328.0097104000001</v>
      </c>
      <c r="K41" s="40">
        <v>8000</v>
      </c>
      <c r="L41" s="40">
        <v>10000</v>
      </c>
      <c r="M41" s="40">
        <v>36149.098324619998</v>
      </c>
      <c r="N41" s="40">
        <v>55383.824511529994</v>
      </c>
      <c r="O41" s="40">
        <v>34966.976616740008</v>
      </c>
      <c r="P41" s="40">
        <v>2932.4262418899989</v>
      </c>
      <c r="Q41" s="40">
        <v>4498.8673877299998</v>
      </c>
      <c r="R41" s="40">
        <v>89134.803178140006</v>
      </c>
      <c r="S41" s="40">
        <v>50403.792653999997</v>
      </c>
      <c r="T41" s="40">
        <v>10628.15275625</v>
      </c>
      <c r="U41" s="40">
        <v>7.8650000000000001E-5</v>
      </c>
      <c r="V41" s="40">
        <v>1.33906634</v>
      </c>
      <c r="W41" s="40">
        <v>15641.706497619996</v>
      </c>
      <c r="X41" s="40">
        <v>516.47459815000002</v>
      </c>
      <c r="Y41" s="40">
        <v>140998.91241433003</v>
      </c>
      <c r="Z41" s="40">
        <v>211560.87716444998</v>
      </c>
      <c r="AA41" s="40">
        <v>73854.281576349982</v>
      </c>
      <c r="AB41" s="40">
        <v>34120.280670940003</v>
      </c>
      <c r="AC41" s="40">
        <v>9138.1619739900016</v>
      </c>
      <c r="AD41" s="40">
        <v>261.77624215999998</v>
      </c>
      <c r="AE41" s="40">
        <v>4899.7685051800281</v>
      </c>
    </row>
    <row r="42" spans="1:31" ht="15.75" x14ac:dyDescent="0.25">
      <c r="A42" s="27">
        <v>44805</v>
      </c>
      <c r="B42" s="40">
        <v>394265.47540775</v>
      </c>
      <c r="C42" s="40">
        <v>36611.880711239995</v>
      </c>
      <c r="D42" s="40">
        <v>361050.12762074999</v>
      </c>
      <c r="E42" s="40">
        <v>216165.67916565997</v>
      </c>
      <c r="F42" s="40">
        <v>82.434253320000025</v>
      </c>
      <c r="G42" s="40">
        <v>138547.00671080002</v>
      </c>
      <c r="H42" s="40">
        <v>20128.210262329994</v>
      </c>
      <c r="I42" s="40">
        <v>18309.149122890001</v>
      </c>
      <c r="J42" s="40">
        <v>2475.67563015</v>
      </c>
      <c r="K42" s="40">
        <v>15560</v>
      </c>
      <c r="L42" s="40">
        <v>23000</v>
      </c>
      <c r="M42" s="40">
        <v>38256.926583460001</v>
      </c>
      <c r="N42" s="40">
        <v>26642.136697939997</v>
      </c>
      <c r="O42" s="40">
        <v>44009.385934860009</v>
      </c>
      <c r="P42" s="40">
        <v>3108.6586402400003</v>
      </c>
      <c r="Q42" s="40">
        <v>5088.4396960800004</v>
      </c>
      <c r="R42" s="40">
        <v>434032.92668416002</v>
      </c>
      <c r="S42" s="40">
        <v>52453.472012649996</v>
      </c>
      <c r="T42" s="40">
        <v>10670.056670609998</v>
      </c>
      <c r="U42" s="40">
        <v>7.8650000000000001E-5</v>
      </c>
      <c r="V42" s="40">
        <v>1.7967448200000002</v>
      </c>
      <c r="W42" s="40">
        <v>15550.822104579998</v>
      </c>
      <c r="X42" s="40">
        <v>734.13440943000023</v>
      </c>
      <c r="Y42" s="40">
        <v>148503.18996426999</v>
      </c>
      <c r="Z42" s="40">
        <v>224132.92789669003</v>
      </c>
      <c r="AA42" s="40">
        <v>76719.134537439997</v>
      </c>
      <c r="AB42" s="40">
        <v>34655.509603049999</v>
      </c>
      <c r="AC42" s="40">
        <v>8985.4482585299993</v>
      </c>
      <c r="AD42" s="40">
        <v>256.6974459600001</v>
      </c>
      <c r="AE42" s="40">
        <v>-5044.8165319099962</v>
      </c>
    </row>
    <row r="43" spans="1:31" ht="15.75" x14ac:dyDescent="0.25">
      <c r="A43" s="27">
        <v>44835</v>
      </c>
      <c r="B43" s="40">
        <v>473739.68995834998</v>
      </c>
      <c r="C43" s="40">
        <v>33263.986057550006</v>
      </c>
      <c r="D43" s="40">
        <v>399945.03845518007</v>
      </c>
      <c r="E43" s="40">
        <v>211105.56893735999</v>
      </c>
      <c r="F43" s="40">
        <v>194.32402931000004</v>
      </c>
      <c r="G43" s="40">
        <v>132100.72124254997</v>
      </c>
      <c r="H43" s="40">
        <v>21955.484212890002</v>
      </c>
      <c r="I43" s="40">
        <v>19423.267456990001</v>
      </c>
      <c r="J43" s="40">
        <v>2687.3608428400003</v>
      </c>
      <c r="K43" s="40">
        <v>11000</v>
      </c>
      <c r="L43" s="40">
        <v>18000</v>
      </c>
      <c r="M43" s="40">
        <v>39295.600354269991</v>
      </c>
      <c r="N43" s="40">
        <v>52888.533818579999</v>
      </c>
      <c r="O43" s="40">
        <v>34540.481520909998</v>
      </c>
      <c r="P43" s="40">
        <v>3359.0007149200005</v>
      </c>
      <c r="Q43" s="40">
        <v>5002.3450837600003</v>
      </c>
      <c r="R43" s="40">
        <v>107687.25935388001</v>
      </c>
      <c r="S43" s="40">
        <v>48535.010151969997</v>
      </c>
      <c r="T43" s="40">
        <v>10183.842513170001</v>
      </c>
      <c r="U43" s="40">
        <v>7.8650000000000001E-5</v>
      </c>
      <c r="V43" s="40">
        <v>2.706564499999998</v>
      </c>
      <c r="W43" s="40">
        <v>14585.059511839998</v>
      </c>
      <c r="X43" s="40">
        <v>382.35169292000006</v>
      </c>
      <c r="Y43" s="40">
        <v>157045.09377060001</v>
      </c>
      <c r="Z43" s="40">
        <v>237446.17247244</v>
      </c>
      <c r="AA43" s="40">
        <v>81324.301135779984</v>
      </c>
      <c r="AB43" s="40">
        <v>37123.950024940001</v>
      </c>
      <c r="AC43" s="40">
        <v>8491.1441411300002</v>
      </c>
      <c r="AD43" s="40">
        <v>259.65257715000001</v>
      </c>
      <c r="AE43" s="40">
        <v>4161.1710473899939</v>
      </c>
    </row>
    <row r="44" spans="1:31" ht="15.75" x14ac:dyDescent="0.25">
      <c r="A44" s="27">
        <v>44866</v>
      </c>
      <c r="B44" s="40">
        <v>488227.81619887002</v>
      </c>
      <c r="C44" s="40">
        <v>32779.434969419999</v>
      </c>
      <c r="D44" s="40">
        <v>409545.97129755997</v>
      </c>
      <c r="E44" s="40">
        <v>210643.74823100001</v>
      </c>
      <c r="F44" s="40">
        <v>46.24715350000001</v>
      </c>
      <c r="G44" s="40">
        <v>138732.63861765005</v>
      </c>
      <c r="H44" s="40">
        <v>24677.740947669998</v>
      </c>
      <c r="I44" s="40">
        <v>23334.605065560001</v>
      </c>
      <c r="J44" s="40">
        <v>2970.0764296500001</v>
      </c>
      <c r="K44" s="40">
        <v>7000</v>
      </c>
      <c r="L44" s="40">
        <v>4000</v>
      </c>
      <c r="M44" s="40">
        <v>39676.636293069998</v>
      </c>
      <c r="N44" s="40">
        <v>19213.33884384</v>
      </c>
      <c r="O44" s="40">
        <v>28127.460106150007</v>
      </c>
      <c r="P44" s="40">
        <v>3747.1063225500002</v>
      </c>
      <c r="Q44" s="40">
        <v>7617.0776919</v>
      </c>
      <c r="R44" s="40">
        <v>51303.88154472001</v>
      </c>
      <c r="S44" s="40">
        <v>56499.347346669987</v>
      </c>
      <c r="T44" s="40">
        <v>10602.443429389998</v>
      </c>
      <c r="U44" s="40">
        <v>7.8650000000000001E-5</v>
      </c>
      <c r="V44" s="40">
        <v>0.44757533999999993</v>
      </c>
      <c r="W44" s="40">
        <v>14762.11004342</v>
      </c>
      <c r="X44" s="40">
        <v>680.57828801000005</v>
      </c>
      <c r="Y44" s="40">
        <v>168110.63088496</v>
      </c>
      <c r="Z44" s="40">
        <v>257776.50782183002</v>
      </c>
      <c r="AA44" s="40">
        <v>86856.616509490006</v>
      </c>
      <c r="AB44" s="40">
        <v>38918.639375389983</v>
      </c>
      <c r="AC44" s="40">
        <v>10009.977505870002</v>
      </c>
      <c r="AD44" s="40">
        <v>267.87074912999998</v>
      </c>
      <c r="AE44" s="40">
        <v>-5105.131715460011</v>
      </c>
    </row>
    <row r="45" spans="1:31" ht="15.75" x14ac:dyDescent="0.25">
      <c r="A45" s="27">
        <v>44896</v>
      </c>
      <c r="B45" s="40">
        <v>530897.27467976999</v>
      </c>
      <c r="C45" s="40">
        <v>31332.620932049995</v>
      </c>
      <c r="D45" s="40">
        <v>459800.15847179003</v>
      </c>
      <c r="E45" s="40">
        <v>213035.55377252999</v>
      </c>
      <c r="F45" s="40">
        <v>91.238218999999987</v>
      </c>
      <c r="G45" s="40">
        <v>158143.81184286001</v>
      </c>
      <c r="H45" s="40">
        <v>23583.728901710001</v>
      </c>
      <c r="I45" s="40">
        <v>29351.863082979999</v>
      </c>
      <c r="J45" s="40">
        <v>2996.45574571</v>
      </c>
      <c r="K45" s="40">
        <v>10600</v>
      </c>
      <c r="L45" s="40">
        <v>13000</v>
      </c>
      <c r="M45" s="40">
        <v>55563.029291560008</v>
      </c>
      <c r="N45" s="40">
        <v>57209.585938530006</v>
      </c>
      <c r="O45" s="40">
        <v>32421.621568420007</v>
      </c>
      <c r="P45" s="40">
        <v>3788.3200341299998</v>
      </c>
      <c r="Q45" s="40">
        <v>6205.2402906299994</v>
      </c>
      <c r="R45" s="40">
        <v>218766.43789487</v>
      </c>
      <c r="S45" s="40">
        <v>56881.289436439998</v>
      </c>
      <c r="T45" s="40">
        <v>10167.129145999997</v>
      </c>
      <c r="U45" s="40">
        <v>0.16974127</v>
      </c>
      <c r="V45" s="40">
        <v>4.9132047799999992</v>
      </c>
      <c r="W45" s="40">
        <v>15178.491686859998</v>
      </c>
      <c r="X45" s="40">
        <v>551.74766508999994</v>
      </c>
      <c r="Y45" s="40">
        <v>174290.63344863002</v>
      </c>
      <c r="Z45" s="40">
        <v>267765.42884678993</v>
      </c>
      <c r="AA45" s="40">
        <v>92208.149750440003</v>
      </c>
      <c r="AB45" s="40">
        <v>41935.196727580013</v>
      </c>
      <c r="AC45" s="40">
        <v>9626.0228214100007</v>
      </c>
      <c r="AD45" s="40">
        <v>262.61108927000004</v>
      </c>
      <c r="AE45" s="40">
        <v>3079.8078474700151</v>
      </c>
    </row>
    <row r="46" spans="1:31" ht="15.75" x14ac:dyDescent="0.25">
      <c r="A46" s="27">
        <v>44927</v>
      </c>
      <c r="B46" s="40">
        <v>439204.18888185004</v>
      </c>
      <c r="C46" s="40">
        <v>32642.102359429995</v>
      </c>
      <c r="D46" s="40">
        <v>533649.32506203</v>
      </c>
      <c r="E46" s="40">
        <v>216221.775291</v>
      </c>
      <c r="F46" s="40">
        <v>82.632040259999997</v>
      </c>
      <c r="G46" s="40">
        <v>155948.64535643999</v>
      </c>
      <c r="H46" s="40">
        <v>28757.4674237</v>
      </c>
      <c r="I46" s="40">
        <v>28484.389380600001</v>
      </c>
      <c r="J46" s="40">
        <v>3773.5205671499998</v>
      </c>
      <c r="K46" s="40">
        <v>20600</v>
      </c>
      <c r="L46" s="40">
        <v>13100</v>
      </c>
      <c r="M46" s="40">
        <v>23803.539225500001</v>
      </c>
      <c r="N46" s="40">
        <v>23583.211964469996</v>
      </c>
      <c r="O46" s="40">
        <v>34688.712408869993</v>
      </c>
      <c r="P46" s="40">
        <v>5520.6729785199987</v>
      </c>
      <c r="Q46" s="40">
        <v>6564.4329987300007</v>
      </c>
      <c r="R46" s="40">
        <v>65105.162556520001</v>
      </c>
      <c r="S46" s="40">
        <v>54873.825511790004</v>
      </c>
      <c r="T46" s="40">
        <v>10059.23521565</v>
      </c>
      <c r="U46" s="40">
        <v>2.0177769999999998E-2</v>
      </c>
      <c r="V46" s="40">
        <v>1.6216167000000001</v>
      </c>
      <c r="W46" s="40">
        <v>14593.319746829999</v>
      </c>
      <c r="X46" s="40">
        <v>1654.5492325200003</v>
      </c>
      <c r="Y46" s="40">
        <v>250997.43124623003</v>
      </c>
      <c r="Z46" s="40">
        <v>386018.7767551</v>
      </c>
      <c r="AA46" s="40">
        <v>142238.49759652998</v>
      </c>
      <c r="AB46" s="40">
        <v>61441.775200060009</v>
      </c>
      <c r="AC46" s="40">
        <v>14002.833420960002</v>
      </c>
      <c r="AD46" s="40">
        <v>258.02539024000004</v>
      </c>
      <c r="AE46" s="40">
        <v>570.0538804400129</v>
      </c>
    </row>
    <row r="47" spans="1:31" ht="15.75" x14ac:dyDescent="0.25">
      <c r="A47" s="27">
        <v>44958</v>
      </c>
      <c r="B47" s="40">
        <v>437043.48025268008</v>
      </c>
      <c r="C47" s="40">
        <v>28653.174053250001</v>
      </c>
      <c r="D47" s="40">
        <v>516478.07200584997</v>
      </c>
      <c r="E47" s="40">
        <v>186088.96734310998</v>
      </c>
      <c r="F47" s="40">
        <v>70.715322950000001</v>
      </c>
      <c r="G47" s="40">
        <v>157280.99091307001</v>
      </c>
      <c r="H47" s="40">
        <v>28116.903320490001</v>
      </c>
      <c r="I47" s="40">
        <v>28088.078522219999</v>
      </c>
      <c r="J47" s="40">
        <v>3392.3608509699998</v>
      </c>
      <c r="K47" s="40">
        <v>11000</v>
      </c>
      <c r="L47" s="40">
        <v>12500</v>
      </c>
      <c r="M47" s="40">
        <v>43795.211548150008</v>
      </c>
      <c r="N47" s="40">
        <v>59149.081997109999</v>
      </c>
      <c r="O47" s="40">
        <v>37408.173143529995</v>
      </c>
      <c r="P47" s="40">
        <v>5640.304803179999</v>
      </c>
      <c r="Q47" s="40">
        <v>6222.5840169600006</v>
      </c>
      <c r="R47" s="40">
        <v>48666.13407095999</v>
      </c>
      <c r="S47" s="40">
        <v>45059.454793440003</v>
      </c>
      <c r="T47" s="40">
        <v>8816.2103060699992</v>
      </c>
      <c r="U47" s="40">
        <v>1.0532E-4</v>
      </c>
      <c r="V47" s="40">
        <v>0.91408731000000021</v>
      </c>
      <c r="W47" s="40">
        <v>13315.7144596</v>
      </c>
      <c r="X47" s="40">
        <v>837.28771565000011</v>
      </c>
      <c r="Y47" s="40">
        <v>201747.47915675002</v>
      </c>
      <c r="Z47" s="40">
        <v>327790.58437485999</v>
      </c>
      <c r="AA47" s="40">
        <v>110256.91162874998</v>
      </c>
      <c r="AB47" s="40">
        <v>48194.330106910005</v>
      </c>
      <c r="AC47" s="40">
        <v>14972.030180720001</v>
      </c>
      <c r="AD47" s="40">
        <v>257.56096303000004</v>
      </c>
      <c r="AE47" s="40">
        <v>-15890.463048249989</v>
      </c>
    </row>
    <row r="48" spans="1:31" s="25" customFormat="1" ht="15.75" x14ac:dyDescent="0.25">
      <c r="A48" s="27">
        <v>44986</v>
      </c>
      <c r="B48" s="40">
        <v>408024.4359409099</v>
      </c>
      <c r="C48" s="40">
        <v>39620.549445329991</v>
      </c>
      <c r="D48" s="40">
        <v>579883.33553481998</v>
      </c>
      <c r="E48" s="40">
        <v>279754.14009115001</v>
      </c>
      <c r="F48" s="40">
        <v>88.579952200000008</v>
      </c>
      <c r="G48" s="40">
        <v>174607.42791792002</v>
      </c>
      <c r="H48" s="40">
        <v>28099.596367540002</v>
      </c>
      <c r="I48" s="40">
        <v>33135.032129030005</v>
      </c>
      <c r="J48" s="40">
        <v>3394.6798660200011</v>
      </c>
      <c r="K48" s="40">
        <v>12000</v>
      </c>
      <c r="L48" s="40">
        <v>21000</v>
      </c>
      <c r="M48" s="40">
        <v>26185.925486009997</v>
      </c>
      <c r="N48" s="40">
        <v>25527.685312940004</v>
      </c>
      <c r="O48" s="40">
        <v>42051.036409149994</v>
      </c>
      <c r="P48" s="40">
        <v>6127.8296981100011</v>
      </c>
      <c r="Q48" s="40">
        <v>6274.9427044200002</v>
      </c>
      <c r="R48" s="40">
        <v>48320.819386380004</v>
      </c>
      <c r="S48" s="40">
        <v>69087.473594249997</v>
      </c>
      <c r="T48" s="40">
        <v>12888.669704980002</v>
      </c>
      <c r="U48" s="40">
        <v>7.8650000000000001E-5</v>
      </c>
      <c r="V48" s="40">
        <v>1.1578300900000003</v>
      </c>
      <c r="W48" s="40">
        <v>19870.476843079996</v>
      </c>
      <c r="X48" s="40">
        <v>1206.1903040699999</v>
      </c>
      <c r="Y48" s="40">
        <v>214561.86542659</v>
      </c>
      <c r="Z48" s="40">
        <v>346394.91877307999</v>
      </c>
      <c r="AA48" s="40">
        <v>117334.28887090001</v>
      </c>
      <c r="AB48" s="40">
        <v>52872.236776739992</v>
      </c>
      <c r="AC48" s="40">
        <v>17211.556849899996</v>
      </c>
      <c r="AD48" s="40">
        <v>189.06387949000003</v>
      </c>
      <c r="AE48" s="40">
        <v>24542.367959809981</v>
      </c>
    </row>
    <row r="49" spans="1:31" ht="15.75" x14ac:dyDescent="0.25">
      <c r="A49" s="27">
        <v>45017</v>
      </c>
      <c r="B49" s="41">
        <v>449373.51314492995</v>
      </c>
      <c r="C49" s="41">
        <v>50093.151019330013</v>
      </c>
      <c r="D49" s="41">
        <v>628358.16253601003</v>
      </c>
      <c r="E49" s="41">
        <v>310732.86047829007</v>
      </c>
      <c r="F49" s="41">
        <v>122.2026219</v>
      </c>
      <c r="G49" s="41">
        <v>186766.77935972004</v>
      </c>
      <c r="H49" s="41">
        <v>33331.295715909997</v>
      </c>
      <c r="I49" s="41">
        <v>33584.894183930002</v>
      </c>
      <c r="J49" s="41">
        <v>4379.9658588200009</v>
      </c>
      <c r="K49" s="41">
        <v>18000</v>
      </c>
      <c r="L49" s="41">
        <v>19000</v>
      </c>
      <c r="M49" s="41">
        <v>39533.494687399987</v>
      </c>
      <c r="N49" s="41">
        <v>59945.586832080007</v>
      </c>
      <c r="O49" s="41">
        <v>42291.695008630006</v>
      </c>
      <c r="P49" s="41">
        <v>5914.2146209899984</v>
      </c>
      <c r="Q49" s="41">
        <v>7003.5269875599997</v>
      </c>
      <c r="R49" s="41">
        <v>50560.944174919998</v>
      </c>
      <c r="S49" s="41">
        <v>61531.507990339996</v>
      </c>
      <c r="T49" s="41">
        <v>11318.198921589998</v>
      </c>
      <c r="U49" s="41">
        <v>7.8650000000000001E-5</v>
      </c>
      <c r="V49" s="41">
        <v>2.6874670599999995</v>
      </c>
      <c r="W49" s="41">
        <v>17067.06291728</v>
      </c>
      <c r="X49" s="41">
        <v>1024.6673065800001</v>
      </c>
      <c r="Y49" s="41">
        <v>232839.80486859003</v>
      </c>
      <c r="Z49" s="41">
        <v>382369.76458473003</v>
      </c>
      <c r="AA49" s="41">
        <v>126901.14622531</v>
      </c>
      <c r="AB49" s="41">
        <v>56401.15443142999</v>
      </c>
      <c r="AC49" s="41">
        <v>16604.281379989996</v>
      </c>
      <c r="AD49" s="41">
        <v>539.09091038999998</v>
      </c>
      <c r="AE49" s="41">
        <v>2190.3707733099936</v>
      </c>
    </row>
    <row r="50" spans="1:31" ht="15.75" x14ac:dyDescent="0.25">
      <c r="A50" s="27">
        <v>45047</v>
      </c>
      <c r="B50" s="42">
        <v>737497.39838385</v>
      </c>
      <c r="C50" s="42">
        <v>66239.60441657</v>
      </c>
      <c r="D50" s="42">
        <v>624811.05848830007</v>
      </c>
      <c r="E50" s="42">
        <v>409510.50301318004</v>
      </c>
      <c r="F50" s="42">
        <v>95.136819430000031</v>
      </c>
      <c r="G50" s="42">
        <v>222666.61590504998</v>
      </c>
      <c r="H50" s="42">
        <v>32184.855507269993</v>
      </c>
      <c r="I50" s="42">
        <v>35986.577489540003</v>
      </c>
      <c r="J50" s="42">
        <v>3819.9717038900003</v>
      </c>
      <c r="K50" s="42">
        <v>16000</v>
      </c>
      <c r="L50" s="42">
        <v>14500</v>
      </c>
      <c r="M50" s="42">
        <v>46651.739015719992</v>
      </c>
      <c r="N50" s="42">
        <v>29512.092150479995</v>
      </c>
      <c r="O50" s="42">
        <v>42043.156092359997</v>
      </c>
      <c r="P50" s="42">
        <v>6242.3376853299997</v>
      </c>
      <c r="Q50" s="42">
        <v>9648.7297037999997</v>
      </c>
      <c r="R50" s="42">
        <v>177420.27740207</v>
      </c>
      <c r="S50" s="42">
        <v>78581.830825610014</v>
      </c>
      <c r="T50" s="42">
        <v>14668.806533870005</v>
      </c>
      <c r="U50" s="42">
        <v>7.8650000000000001E-5</v>
      </c>
      <c r="V50" s="42">
        <v>1.5953148400000001</v>
      </c>
      <c r="W50" s="42">
        <v>22315.980318210008</v>
      </c>
      <c r="X50" s="42">
        <v>1179.70614815</v>
      </c>
      <c r="Y50" s="42">
        <v>411509.1024119801</v>
      </c>
      <c r="Z50" s="42">
        <v>252366.30419860999</v>
      </c>
      <c r="AA50" s="42">
        <v>135151.83435146004</v>
      </c>
      <c r="AB50" s="42">
        <v>59633.361770069991</v>
      </c>
      <c r="AC50" s="42">
        <v>17371.543829830003</v>
      </c>
      <c r="AD50" s="42">
        <v>553.35233094</v>
      </c>
      <c r="AE50" s="42">
        <v>12108.152676550006</v>
      </c>
    </row>
    <row r="51" spans="1:31" ht="15.75" x14ac:dyDescent="0.25">
      <c r="A51" s="27">
        <v>45078</v>
      </c>
      <c r="B51" s="42">
        <v>742669.58893058996</v>
      </c>
      <c r="C51" s="42">
        <v>69806.555039440005</v>
      </c>
      <c r="D51" s="42">
        <v>736839.97923196992</v>
      </c>
      <c r="E51" s="42">
        <v>433333.58767417003</v>
      </c>
      <c r="F51" s="43">
        <v>5.6049002600000035</v>
      </c>
      <c r="G51" s="42">
        <v>233529.15105704</v>
      </c>
      <c r="H51" s="42">
        <v>32728.410494709999</v>
      </c>
      <c r="I51" s="42">
        <v>43594.868020019996</v>
      </c>
      <c r="J51" s="42">
        <v>3823.5823232199996</v>
      </c>
      <c r="K51" s="42">
        <v>21000</v>
      </c>
      <c r="L51" s="42">
        <v>19000</v>
      </c>
      <c r="M51" s="42">
        <v>50929.773068019997</v>
      </c>
      <c r="N51" s="42">
        <v>216865.80465030999</v>
      </c>
      <c r="O51" s="42">
        <v>54862.721581419995</v>
      </c>
      <c r="P51" s="42">
        <v>6261.4213862799988</v>
      </c>
      <c r="Q51" s="42">
        <v>9334.4020836700001</v>
      </c>
      <c r="R51" s="42">
        <v>181321.68027311005</v>
      </c>
      <c r="S51" s="42">
        <v>84499.038777319991</v>
      </c>
      <c r="T51" s="42">
        <v>16346.8214744</v>
      </c>
      <c r="U51" s="42">
        <v>5.0954800000000003E-3</v>
      </c>
      <c r="V51" s="42">
        <v>1.1433326100000007</v>
      </c>
      <c r="W51" s="42">
        <v>24029.519204459993</v>
      </c>
      <c r="X51" s="42">
        <v>1193.4409035699998</v>
      </c>
      <c r="Y51" s="42">
        <v>422925.85108257993</v>
      </c>
      <c r="Z51" s="42">
        <v>272547.02966146998</v>
      </c>
      <c r="AA51" s="42">
        <v>141139.28540628997</v>
      </c>
      <c r="AB51" s="42">
        <v>64132.403148640005</v>
      </c>
      <c r="AC51" s="42">
        <v>17435.480721159995</v>
      </c>
      <c r="AD51" s="42">
        <v>556.83810372999994</v>
      </c>
      <c r="AE51" s="42">
        <v>-33726.760249359977</v>
      </c>
    </row>
    <row r="52" spans="1:31" ht="15.75" x14ac:dyDescent="0.25">
      <c r="A52" s="27">
        <v>45108</v>
      </c>
      <c r="B52" s="42">
        <v>631837.44169436011</v>
      </c>
      <c r="C52" s="42">
        <v>70739.778620030003</v>
      </c>
      <c r="D52" s="42">
        <v>770270.87243912998</v>
      </c>
      <c r="E52" s="42">
        <v>425030.10390871996</v>
      </c>
      <c r="F52" s="43">
        <v>80.803527680000002</v>
      </c>
      <c r="G52" s="42">
        <v>257969.49573558001</v>
      </c>
      <c r="H52" s="42">
        <v>34521.988263809995</v>
      </c>
      <c r="I52" s="42">
        <v>40855.898693209994</v>
      </c>
      <c r="J52" s="42">
        <v>4331.2019169700006</v>
      </c>
      <c r="K52" s="42">
        <v>17000</v>
      </c>
      <c r="L52" s="42">
        <v>19000</v>
      </c>
      <c r="M52" s="42">
        <v>42491.785485710003</v>
      </c>
      <c r="N52" s="42">
        <v>67239.410496820012</v>
      </c>
      <c r="O52" s="42">
        <v>65539.25250331001</v>
      </c>
      <c r="P52" s="42">
        <v>5979.2014831000006</v>
      </c>
      <c r="Q52" s="42">
        <v>9946.9329753900001</v>
      </c>
      <c r="R52" s="42">
        <v>62426.498138350005</v>
      </c>
      <c r="S52" s="42">
        <v>87555.687158259985</v>
      </c>
      <c r="T52" s="42">
        <v>17217.952071269996</v>
      </c>
      <c r="U52" s="42">
        <v>9.6219999999999997E-5</v>
      </c>
      <c r="V52" s="42">
        <v>2.8677163200000013</v>
      </c>
      <c r="W52" s="42">
        <v>23756.070972269998</v>
      </c>
      <c r="X52" s="42">
        <v>1260.9359373099996</v>
      </c>
      <c r="Y52" s="42">
        <v>590891.12892200996</v>
      </c>
      <c r="Z52" s="42">
        <v>377656.63733594998</v>
      </c>
      <c r="AA52" s="42">
        <v>212016.07953021998</v>
      </c>
      <c r="AB52" s="42">
        <v>92174.872250760018</v>
      </c>
      <c r="AC52" s="42">
        <v>18272.556721650002</v>
      </c>
      <c r="AD52" s="42">
        <v>559.2218075400001</v>
      </c>
      <c r="AE52" s="42">
        <v>36448.953381710031</v>
      </c>
    </row>
    <row r="53" spans="1:31" ht="15.75" x14ac:dyDescent="0.25">
      <c r="A53" s="27">
        <v>45139</v>
      </c>
      <c r="B53" s="42">
        <v>780794.24940519012</v>
      </c>
      <c r="C53" s="42">
        <v>87342.374445859983</v>
      </c>
      <c r="D53" s="42">
        <v>850659.76661616995</v>
      </c>
      <c r="E53" s="42">
        <v>545885.20008531003</v>
      </c>
      <c r="F53" s="43">
        <v>109.49671197000001</v>
      </c>
      <c r="G53" s="42">
        <v>277761.94825597998</v>
      </c>
      <c r="H53" s="42">
        <v>42306.441887959991</v>
      </c>
      <c r="I53" s="42">
        <v>39323.882283449995</v>
      </c>
      <c r="J53" s="42">
        <v>5266.7039316599994</v>
      </c>
      <c r="K53" s="42">
        <v>15000</v>
      </c>
      <c r="L53" s="42">
        <v>19000</v>
      </c>
      <c r="M53" s="42">
        <v>53524.046154649994</v>
      </c>
      <c r="N53" s="42">
        <v>115146.52135213002</v>
      </c>
      <c r="O53" s="42">
        <v>211902.04076397995</v>
      </c>
      <c r="P53" s="42">
        <v>6567.88459066</v>
      </c>
      <c r="Q53" s="42">
        <v>10938.93112268</v>
      </c>
      <c r="R53" s="42">
        <v>107969.69181260998</v>
      </c>
      <c r="S53" s="42">
        <v>119263.57866858</v>
      </c>
      <c r="T53" s="42">
        <v>21882.937905190003</v>
      </c>
      <c r="U53" s="42">
        <v>7.8650000000000001E-5</v>
      </c>
      <c r="V53" s="42">
        <v>1.5587166700000001</v>
      </c>
      <c r="W53" s="42">
        <v>29579.549157600002</v>
      </c>
      <c r="X53" s="42">
        <v>1900.2955817899997</v>
      </c>
      <c r="Y53" s="42">
        <v>502521.46683779015</v>
      </c>
      <c r="Z53" s="42">
        <v>318410.26746605011</v>
      </c>
      <c r="AA53" s="42">
        <v>170513.10886047999</v>
      </c>
      <c r="AB53" s="42">
        <v>77465.593174960013</v>
      </c>
      <c r="AC53" s="42">
        <v>18737.321936470002</v>
      </c>
      <c r="AD53" s="42">
        <v>565.84198644000003</v>
      </c>
      <c r="AE53" s="42">
        <v>5391.8498010699886</v>
      </c>
    </row>
    <row r="54" spans="1:31" ht="15.75" x14ac:dyDescent="0.25">
      <c r="A54" s="27">
        <v>45170</v>
      </c>
      <c r="B54" s="42">
        <v>701208.71787053999</v>
      </c>
      <c r="C54" s="42">
        <v>99096.546962280016</v>
      </c>
      <c r="D54" s="42">
        <v>990796.37008493999</v>
      </c>
      <c r="E54" s="42">
        <v>637594.04843042989</v>
      </c>
      <c r="F54" s="43">
        <v>71.274998459999992</v>
      </c>
      <c r="G54" s="42">
        <v>316262.61494143005</v>
      </c>
      <c r="H54" s="42">
        <v>35075.387575870001</v>
      </c>
      <c r="I54" s="42">
        <v>57562.957148139998</v>
      </c>
      <c r="J54" s="42">
        <v>4454.8273762500003</v>
      </c>
      <c r="K54" s="42">
        <v>16000</v>
      </c>
      <c r="L54" s="42">
        <v>26850</v>
      </c>
      <c r="M54" s="42">
        <v>48084.174685079997</v>
      </c>
      <c r="N54" s="42">
        <v>57212.692262569995</v>
      </c>
      <c r="O54" s="42">
        <v>236442.86040483002</v>
      </c>
      <c r="P54" s="42">
        <v>5256.3222959699997</v>
      </c>
      <c r="Q54" s="42">
        <v>10623.539361179999</v>
      </c>
      <c r="R54" s="42">
        <v>169858.77000793003</v>
      </c>
      <c r="S54" s="42">
        <v>126244.18398143002</v>
      </c>
      <c r="T54" s="42">
        <v>23802.934033919999</v>
      </c>
      <c r="U54" s="42">
        <v>0</v>
      </c>
      <c r="V54" s="42">
        <v>3.2467499500000008</v>
      </c>
      <c r="W54" s="42">
        <v>34028.751495930002</v>
      </c>
      <c r="X54" s="42">
        <v>2073.5721632200002</v>
      </c>
      <c r="Y54" s="42">
        <v>505242.82610548992</v>
      </c>
      <c r="Z54" s="42">
        <v>332706.19659365993</v>
      </c>
      <c r="AA54" s="42">
        <v>175959.67077570994</v>
      </c>
      <c r="AB54" s="42">
        <v>80261.954887540007</v>
      </c>
      <c r="AC54" s="42">
        <v>18801.192168650003</v>
      </c>
      <c r="AD54" s="42">
        <v>562.44539465999992</v>
      </c>
      <c r="AE54" s="42">
        <v>-3693.2703834399849</v>
      </c>
    </row>
    <row r="55" spans="1:31" ht="15.75" x14ac:dyDescent="0.25">
      <c r="A55" s="27">
        <v>45200</v>
      </c>
      <c r="B55" s="42">
        <v>858791.23795284005</v>
      </c>
      <c r="C55" s="42">
        <v>89737.834360619992</v>
      </c>
      <c r="D55" s="42">
        <v>955621.78721940983</v>
      </c>
      <c r="E55" s="42">
        <v>582922.42530371994</v>
      </c>
      <c r="F55" s="42">
        <v>27.684955390000024</v>
      </c>
      <c r="G55" s="42">
        <v>353536.36345493002</v>
      </c>
      <c r="H55" s="42">
        <v>46816.418459779998</v>
      </c>
      <c r="I55" s="42">
        <v>67221.484864949991</v>
      </c>
      <c r="J55" s="42">
        <v>5973.6246752400002</v>
      </c>
      <c r="K55" s="42">
        <v>21000</v>
      </c>
      <c r="L55" s="42">
        <v>34000</v>
      </c>
      <c r="M55" s="42">
        <v>50255.301312740005</v>
      </c>
      <c r="N55" s="42">
        <v>93408.665699200006</v>
      </c>
      <c r="O55" s="42">
        <v>234891.40342236002</v>
      </c>
      <c r="P55" s="42">
        <v>5052.5661448700012</v>
      </c>
      <c r="Q55" s="42">
        <v>12179.667820799999</v>
      </c>
      <c r="R55" s="42">
        <v>118811.88935905001</v>
      </c>
      <c r="S55" s="42">
        <v>132069.47262928</v>
      </c>
      <c r="T55" s="42">
        <v>22672.488488810006</v>
      </c>
      <c r="U55" s="42">
        <v>0</v>
      </c>
      <c r="V55" s="42">
        <v>15.073286180000002</v>
      </c>
      <c r="W55" s="42">
        <v>32326.843919740004</v>
      </c>
      <c r="X55" s="42">
        <v>1894.1534435299998</v>
      </c>
      <c r="Y55" s="42">
        <v>528084.97027415014</v>
      </c>
      <c r="Z55" s="42">
        <v>359582.74704500008</v>
      </c>
      <c r="AA55" s="42">
        <v>194125.04990088995</v>
      </c>
      <c r="AB55" s="42">
        <v>88972.731393029986</v>
      </c>
      <c r="AC55" s="42">
        <v>18946.435937539998</v>
      </c>
      <c r="AD55" s="42">
        <v>570.24367290000009</v>
      </c>
      <c r="AE55" s="42">
        <v>11227.375166420039</v>
      </c>
    </row>
    <row r="56" spans="1:31" ht="15.75" x14ac:dyDescent="0.25">
      <c r="A56" s="27">
        <v>45231</v>
      </c>
      <c r="B56" s="42">
        <v>830720.05974959012</v>
      </c>
      <c r="C56" s="42">
        <v>85160.251594459987</v>
      </c>
      <c r="D56" s="42">
        <v>1114040.78194068</v>
      </c>
      <c r="E56" s="42">
        <v>561699.15277238016</v>
      </c>
      <c r="F56" s="42">
        <v>36.793700600000001</v>
      </c>
      <c r="G56" s="42">
        <v>382565.67746912001</v>
      </c>
      <c r="H56" s="42">
        <v>51338.589266609997</v>
      </c>
      <c r="I56" s="42">
        <v>66136.825948209997</v>
      </c>
      <c r="J56" s="42">
        <v>6506.6839266100005</v>
      </c>
      <c r="K56" s="42">
        <v>10500</v>
      </c>
      <c r="L56" s="42">
        <v>13000</v>
      </c>
      <c r="M56" s="42">
        <v>39674.569644229996</v>
      </c>
      <c r="N56" s="42">
        <v>89434.386223189998</v>
      </c>
      <c r="O56" s="42">
        <v>197059.55137140001</v>
      </c>
      <c r="P56" s="42">
        <v>5026.0632933900006</v>
      </c>
      <c r="Q56" s="42">
        <v>15608.492116809999</v>
      </c>
      <c r="R56" s="42">
        <v>101373.94069247998</v>
      </c>
      <c r="S56" s="42">
        <v>119279.45942864999</v>
      </c>
      <c r="T56" s="42">
        <v>23128.073115900002</v>
      </c>
      <c r="U56" s="42">
        <v>0</v>
      </c>
      <c r="V56" s="42">
        <v>2.1370833299999994</v>
      </c>
      <c r="W56" s="42">
        <v>31056.282853550005</v>
      </c>
      <c r="X56" s="42">
        <v>2430.1330004199999</v>
      </c>
      <c r="Y56" s="42">
        <v>627894.52475572994</v>
      </c>
      <c r="Z56" s="42">
        <v>402915.44104920008</v>
      </c>
      <c r="AA56" s="42">
        <v>217904.80664847</v>
      </c>
      <c r="AB56" s="42">
        <v>98791.871821469977</v>
      </c>
      <c r="AC56" s="42">
        <v>18995.651813380002</v>
      </c>
      <c r="AD56" s="42">
        <v>571.1065616300001</v>
      </c>
      <c r="AE56" s="42">
        <v>-3278.8380488099601</v>
      </c>
    </row>
    <row r="57" spans="1:31" ht="15.75" x14ac:dyDescent="0.25">
      <c r="A57" s="27">
        <v>45261</v>
      </c>
      <c r="B57" s="42">
        <v>926987.77546814992</v>
      </c>
      <c r="C57" s="42">
        <v>119375.43720269001</v>
      </c>
      <c r="D57" s="42">
        <v>1336236.17669504</v>
      </c>
      <c r="E57" s="42">
        <v>760891.86121210014</v>
      </c>
      <c r="F57" s="42">
        <v>288.30037200999993</v>
      </c>
      <c r="G57" s="42">
        <v>427270.41465046001</v>
      </c>
      <c r="H57" s="42">
        <v>56577.866575880013</v>
      </c>
      <c r="I57" s="42">
        <v>91494.398883929971</v>
      </c>
      <c r="J57" s="42">
        <v>7162.0361408499994</v>
      </c>
      <c r="K57" s="42">
        <v>17700</v>
      </c>
      <c r="L57" s="42">
        <v>23000</v>
      </c>
      <c r="M57" s="42">
        <v>61502.121557149992</v>
      </c>
      <c r="N57" s="42">
        <v>150917.34096383999</v>
      </c>
      <c r="O57" s="42">
        <v>311708.02462579997</v>
      </c>
      <c r="P57" s="42">
        <v>5202.0803051899993</v>
      </c>
      <c r="Q57" s="42">
        <v>14004.89206414</v>
      </c>
      <c r="R57" s="42">
        <v>412892.85951165011</v>
      </c>
      <c r="S57" s="42">
        <v>153830.39833132</v>
      </c>
      <c r="T57" s="42">
        <v>29058.783969600005</v>
      </c>
      <c r="U57" s="42">
        <v>0</v>
      </c>
      <c r="V57" s="42">
        <v>5.3554886399999999</v>
      </c>
      <c r="W57" s="42">
        <v>39465.317588530001</v>
      </c>
      <c r="X57" s="42">
        <v>2745.8837359999998</v>
      </c>
      <c r="Y57" s="42">
        <v>681690.48969457007</v>
      </c>
      <c r="Z57" s="42">
        <v>423153.72228441999</v>
      </c>
      <c r="AA57" s="42">
        <v>237208.83697289004</v>
      </c>
      <c r="AB57" s="42">
        <v>107068.99387663</v>
      </c>
      <c r="AC57" s="42">
        <v>20594.28838369</v>
      </c>
      <c r="AD57" s="42">
        <v>565.26890642000001</v>
      </c>
      <c r="AE57" s="42">
        <v>7843.8016087499673</v>
      </c>
    </row>
    <row r="58" spans="1:31" ht="15.75" x14ac:dyDescent="0.25">
      <c r="A58" s="27">
        <v>45292</v>
      </c>
      <c r="B58" s="68">
        <v>822442.50574255025</v>
      </c>
      <c r="C58" s="68">
        <v>199460.24454868</v>
      </c>
      <c r="D58" s="68">
        <v>1604347.6970647702</v>
      </c>
      <c r="E58" s="68">
        <v>1271449.5610116802</v>
      </c>
      <c r="F58" s="69" t="s">
        <v>69</v>
      </c>
      <c r="G58" s="68">
        <v>463278.38607327</v>
      </c>
      <c r="H58" s="68">
        <v>76742.201765070015</v>
      </c>
      <c r="I58" s="68">
        <v>94787.874245219995</v>
      </c>
      <c r="J58" s="68">
        <v>9678.9743458899993</v>
      </c>
      <c r="K58" s="68">
        <v>25000</v>
      </c>
      <c r="L58" s="68">
        <v>30000</v>
      </c>
      <c r="M58" s="68">
        <v>46121.275450749992</v>
      </c>
      <c r="N58" s="68">
        <v>32552.081508910007</v>
      </c>
      <c r="O58" s="68">
        <v>469198.66156141006</v>
      </c>
      <c r="P58" s="68">
        <v>9004.1273324400026</v>
      </c>
      <c r="Q58" s="68">
        <v>17324.001481960004</v>
      </c>
      <c r="R58" s="68">
        <v>645168.01848032011</v>
      </c>
      <c r="S58" s="68">
        <v>274537.92983271001</v>
      </c>
      <c r="T58" s="68">
        <v>50133.37233505999</v>
      </c>
      <c r="U58" s="68">
        <v>0</v>
      </c>
      <c r="V58" s="68">
        <v>1.11431474</v>
      </c>
      <c r="W58" s="68">
        <v>67970.002589819997</v>
      </c>
      <c r="X58" s="68">
        <v>4679.1061483699996</v>
      </c>
      <c r="Y58" s="68">
        <v>1033238.2054581899</v>
      </c>
      <c r="Z58" s="68">
        <v>637396.44078919012</v>
      </c>
      <c r="AA58" s="68">
        <v>392097.14966731</v>
      </c>
      <c r="AB58" s="68">
        <v>174005.29267455995</v>
      </c>
      <c r="AC58" s="68">
        <v>27615.1458188</v>
      </c>
      <c r="AD58" s="68">
        <v>580.07016159000011</v>
      </c>
      <c r="AE58" s="68">
        <v>3736.375900010004</v>
      </c>
    </row>
    <row r="62" spans="1:31" x14ac:dyDescent="0.25">
      <c r="O62">
        <v>65539.25250331001</v>
      </c>
      <c r="P62">
        <v>5979.2014831000006</v>
      </c>
    </row>
    <row r="63" spans="1:31" x14ac:dyDescent="0.25">
      <c r="O63">
        <v>211902.04076397995</v>
      </c>
      <c r="P63">
        <v>6567.88459066</v>
      </c>
    </row>
    <row r="64" spans="1:31" x14ac:dyDescent="0.25">
      <c r="O64">
        <v>236442.86040483002</v>
      </c>
      <c r="P64">
        <v>5256.3222959699997</v>
      </c>
    </row>
  </sheetData>
  <mergeCells count="31">
    <mergeCell ref="R7:X7"/>
    <mergeCell ref="Y8:Y9"/>
    <mergeCell ref="Z8:Z9"/>
    <mergeCell ref="AA8:AA9"/>
    <mergeCell ref="AB8:AB9"/>
    <mergeCell ref="W8:W9"/>
    <mergeCell ref="Q8:Q9"/>
    <mergeCell ref="AD8:AD9"/>
    <mergeCell ref="AE8:AE9"/>
    <mergeCell ref="X8:X9"/>
    <mergeCell ref="R8:R9"/>
    <mergeCell ref="S8:S9"/>
    <mergeCell ref="T8:T9"/>
    <mergeCell ref="U8:U9"/>
    <mergeCell ref="V8:V9"/>
    <mergeCell ref="B7:Q7"/>
    <mergeCell ref="A6:A9"/>
    <mergeCell ref="B8:C8"/>
    <mergeCell ref="D8:E8"/>
    <mergeCell ref="B6:AE6"/>
    <mergeCell ref="F8:F9"/>
    <mergeCell ref="G8:G9"/>
    <mergeCell ref="H8:I8"/>
    <mergeCell ref="J8:J9"/>
    <mergeCell ref="K8:L8"/>
    <mergeCell ref="AC8:AC9"/>
    <mergeCell ref="Y7:AE7"/>
    <mergeCell ref="M8:M9"/>
    <mergeCell ref="N8:N9"/>
    <mergeCell ref="O8:O9"/>
    <mergeCell ref="P8:P9"/>
  </mergeCells>
  <hyperlinks>
    <hyperlink ref="B4" r:id="rId1" xr:uid="{5FF6C407-DB69-4C8F-BD8A-91B37D2293A6}"/>
    <hyperlink ref="E4" location="INDICE!A1" display="Volver al indice" xr:uid="{EB9505E8-94BC-44F1-AEB6-FC23D8D94632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0A968-2654-4EE5-9C78-C326AC98A4D0}">
  <dimension ref="A1:AE26"/>
  <sheetViews>
    <sheetView topLeftCell="A7" workbookViewId="0">
      <selection activeCell="H25" sqref="H25"/>
    </sheetView>
  </sheetViews>
  <sheetFormatPr baseColWidth="10" defaultColWidth="11.42578125" defaultRowHeight="15" x14ac:dyDescent="0.25"/>
  <cols>
    <col min="2" max="2" width="13.42578125" bestFit="1" customWidth="1"/>
    <col min="3" max="3" width="12.140625" bestFit="1" customWidth="1"/>
    <col min="4" max="4" width="13.42578125" bestFit="1" customWidth="1"/>
    <col min="5" max="5" width="12.140625" bestFit="1" customWidth="1"/>
    <col min="6" max="6" width="11.85546875" bestFit="1" customWidth="1"/>
    <col min="7" max="7" width="12.140625" bestFit="1" customWidth="1"/>
    <col min="8" max="12" width="11.85546875" bestFit="1" customWidth="1"/>
    <col min="13" max="15" width="12.140625" bestFit="1" customWidth="1"/>
    <col min="16" max="17" width="11.85546875" bestFit="1" customWidth="1"/>
    <col min="18" max="19" width="12.140625" bestFit="1" customWidth="1"/>
    <col min="20" max="24" width="11.85546875" bestFit="1" customWidth="1"/>
    <col min="25" max="28" width="12.140625" bestFit="1" customWidth="1"/>
    <col min="29" max="31" width="11.85546875" bestFit="1" customWidth="1"/>
  </cols>
  <sheetData>
    <row r="1" spans="1:31" ht="23.25" x14ac:dyDescent="0.35">
      <c r="A1" s="17" t="s">
        <v>25</v>
      </c>
    </row>
    <row r="2" spans="1:31" ht="21" x14ac:dyDescent="0.35">
      <c r="A2" s="18" t="s">
        <v>209</v>
      </c>
    </row>
    <row r="3" spans="1:31" x14ac:dyDescent="0.25">
      <c r="A3" t="s">
        <v>186</v>
      </c>
    </row>
    <row r="4" spans="1:31" x14ac:dyDescent="0.25">
      <c r="A4" t="s">
        <v>28</v>
      </c>
      <c r="B4" s="35" t="s">
        <v>29</v>
      </c>
      <c r="E4" s="35" t="s">
        <v>30</v>
      </c>
    </row>
    <row r="6" spans="1:31" ht="15.75" x14ac:dyDescent="0.25">
      <c r="A6" s="52" t="s">
        <v>31</v>
      </c>
      <c r="B6" s="53" t="s">
        <v>32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</row>
    <row r="7" spans="1:31" ht="15.75" x14ac:dyDescent="0.25">
      <c r="A7" s="52"/>
      <c r="B7" s="56" t="s">
        <v>33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  <c r="R7" s="55" t="s">
        <v>34</v>
      </c>
      <c r="S7" s="56"/>
      <c r="T7" s="56"/>
      <c r="U7" s="56"/>
      <c r="V7" s="56"/>
      <c r="W7" s="56"/>
      <c r="X7" s="57"/>
      <c r="Y7" s="58" t="s">
        <v>35</v>
      </c>
      <c r="Z7" s="59"/>
      <c r="AA7" s="59"/>
      <c r="AB7" s="59"/>
      <c r="AC7" s="59"/>
      <c r="AD7" s="59"/>
      <c r="AE7" s="59"/>
    </row>
    <row r="8" spans="1:31" ht="15.75" x14ac:dyDescent="0.25">
      <c r="A8" s="52"/>
      <c r="B8" s="56" t="s">
        <v>36</v>
      </c>
      <c r="C8" s="57"/>
      <c r="D8" s="55" t="s">
        <v>37</v>
      </c>
      <c r="E8" s="56"/>
      <c r="F8" s="46" t="s">
        <v>38</v>
      </c>
      <c r="G8" s="46" t="s">
        <v>39</v>
      </c>
      <c r="H8" s="60" t="s">
        <v>40</v>
      </c>
      <c r="I8" s="60"/>
      <c r="J8" s="46" t="s">
        <v>41</v>
      </c>
      <c r="K8" s="60" t="s">
        <v>42</v>
      </c>
      <c r="L8" s="60"/>
      <c r="M8" s="50" t="s">
        <v>216</v>
      </c>
      <c r="N8" s="46" t="s">
        <v>44</v>
      </c>
      <c r="O8" s="46" t="s">
        <v>45</v>
      </c>
      <c r="P8" s="46" t="s">
        <v>46</v>
      </c>
      <c r="Q8" s="48" t="s">
        <v>47</v>
      </c>
      <c r="R8" s="51" t="s">
        <v>48</v>
      </c>
      <c r="S8" s="47" t="s">
        <v>49</v>
      </c>
      <c r="T8" s="47" t="s">
        <v>50</v>
      </c>
      <c r="U8" s="47" t="s">
        <v>51</v>
      </c>
      <c r="V8" s="47" t="s">
        <v>52</v>
      </c>
      <c r="W8" s="47" t="s">
        <v>53</v>
      </c>
      <c r="X8" s="49" t="s">
        <v>54</v>
      </c>
      <c r="Y8" s="50" t="s">
        <v>211</v>
      </c>
      <c r="Z8" s="46" t="s">
        <v>212</v>
      </c>
      <c r="AA8" s="46" t="s">
        <v>56</v>
      </c>
      <c r="AB8" s="46" t="s">
        <v>57</v>
      </c>
      <c r="AC8" s="46" t="s">
        <v>213</v>
      </c>
      <c r="AD8" s="46" t="s">
        <v>214</v>
      </c>
      <c r="AE8" s="46" t="s">
        <v>60</v>
      </c>
    </row>
    <row r="9" spans="1:31" ht="31.5" x14ac:dyDescent="0.25">
      <c r="A9" s="52"/>
      <c r="B9" s="11" t="s">
        <v>61</v>
      </c>
      <c r="C9" s="12" t="s">
        <v>62</v>
      </c>
      <c r="D9" s="11" t="s">
        <v>63</v>
      </c>
      <c r="E9" s="11" t="s">
        <v>64</v>
      </c>
      <c r="F9" s="47"/>
      <c r="G9" s="47"/>
      <c r="H9" s="11" t="s">
        <v>65</v>
      </c>
      <c r="I9" s="11" t="s">
        <v>54</v>
      </c>
      <c r="J9" s="47"/>
      <c r="K9" s="11" t="s">
        <v>66</v>
      </c>
      <c r="L9" s="11" t="s">
        <v>67</v>
      </c>
      <c r="M9" s="51"/>
      <c r="N9" s="47"/>
      <c r="O9" s="47"/>
      <c r="P9" s="47"/>
      <c r="Q9" s="49"/>
      <c r="R9" s="51"/>
      <c r="S9" s="47"/>
      <c r="T9" s="47"/>
      <c r="U9" s="47"/>
      <c r="V9" s="47"/>
      <c r="W9" s="47"/>
      <c r="X9" s="49"/>
      <c r="Y9" s="51"/>
      <c r="Z9" s="47"/>
      <c r="AA9" s="47"/>
      <c r="AB9" s="47"/>
      <c r="AC9" s="47"/>
      <c r="AD9" s="47"/>
      <c r="AE9" s="47"/>
    </row>
    <row r="10" spans="1:31" ht="15.75" x14ac:dyDescent="0.25">
      <c r="A10" s="25" t="s">
        <v>217</v>
      </c>
      <c r="B10" s="44">
        <v>249666.84953790001</v>
      </c>
      <c r="C10" s="44">
        <v>19054.106323610002</v>
      </c>
      <c r="D10" s="44">
        <v>327958.74646877003</v>
      </c>
      <c r="E10" s="44">
        <v>133967.919161</v>
      </c>
      <c r="F10" s="44">
        <v>4409.6406607999998</v>
      </c>
      <c r="G10" s="44">
        <v>103341.44473215</v>
      </c>
      <c r="H10" s="44">
        <v>18625.22984294</v>
      </c>
      <c r="I10" s="44">
        <v>11545.052960460001</v>
      </c>
      <c r="J10" s="44">
        <v>3145.0970773699996</v>
      </c>
      <c r="K10" s="44">
        <v>13063.4</v>
      </c>
      <c r="L10" s="44">
        <v>2045</v>
      </c>
      <c r="M10" s="44">
        <v>39354.662981210007</v>
      </c>
      <c r="N10" s="44">
        <v>7668.4172812300003</v>
      </c>
      <c r="O10" s="44">
        <v>17118.131590789999</v>
      </c>
      <c r="P10" s="44">
        <v>72840.595151400004</v>
      </c>
      <c r="Q10" s="44">
        <v>4488.4560853900002</v>
      </c>
      <c r="R10" s="44">
        <v>74078.18922973999</v>
      </c>
      <c r="S10" s="44">
        <v>35165.579501550004</v>
      </c>
      <c r="T10" s="44">
        <v>6808.6788562500005</v>
      </c>
      <c r="U10" s="44">
        <v>1.6075610000000001E-2</v>
      </c>
      <c r="V10" s="44">
        <v>5.3459796700000002</v>
      </c>
      <c r="W10" s="44">
        <v>9837.67846379</v>
      </c>
      <c r="X10" s="44">
        <v>304.51082563999989</v>
      </c>
      <c r="Y10" s="44">
        <v>158166.48239453998</v>
      </c>
      <c r="Z10" s="44">
        <v>234933.43717913993</v>
      </c>
      <c r="AA10" s="44">
        <v>85720.378488190006</v>
      </c>
      <c r="AB10" s="44">
        <v>40362.079514739999</v>
      </c>
      <c r="AC10" s="44">
        <v>11558.99250145</v>
      </c>
      <c r="AD10" s="44">
        <v>270.98865076999994</v>
      </c>
      <c r="AE10" s="44">
        <v>4761.5029443399953</v>
      </c>
    </row>
    <row r="11" spans="1:31" ht="15.75" x14ac:dyDescent="0.25">
      <c r="A11" s="25" t="s">
        <v>218</v>
      </c>
      <c r="B11" s="44">
        <v>343428.05706477002</v>
      </c>
      <c r="C11" s="44">
        <v>21616.002346039997</v>
      </c>
      <c r="D11" s="44">
        <v>271212.39808617003</v>
      </c>
      <c r="E11" s="44">
        <v>135290.68589975999</v>
      </c>
      <c r="F11" s="44">
        <v>2472.8508021999996</v>
      </c>
      <c r="G11" s="44">
        <v>98321.812565689994</v>
      </c>
      <c r="H11" s="44">
        <v>16649.672920469999</v>
      </c>
      <c r="I11" s="44">
        <v>14167.519974090001</v>
      </c>
      <c r="J11" s="44">
        <v>2694.5285308000002</v>
      </c>
      <c r="K11" s="44">
        <v>7381</v>
      </c>
      <c r="L11" s="44">
        <v>11695</v>
      </c>
      <c r="M11" s="44">
        <v>36499.136747590004</v>
      </c>
      <c r="N11" s="44">
        <v>38901.785471530005</v>
      </c>
      <c r="O11" s="44">
        <v>30586.53650971</v>
      </c>
      <c r="P11" s="44">
        <v>64523.589233399995</v>
      </c>
      <c r="Q11" s="44">
        <v>3176.80021119</v>
      </c>
      <c r="R11" s="44">
        <v>89078.683202259999</v>
      </c>
      <c r="S11" s="44">
        <v>33133.220357520004</v>
      </c>
      <c r="T11" s="44">
        <v>7523.5388948600003</v>
      </c>
      <c r="U11" s="44">
        <v>4.3293329999999998E-2</v>
      </c>
      <c r="V11" s="44">
        <v>5.2446137699999991</v>
      </c>
      <c r="W11" s="44">
        <v>10165.460617519999</v>
      </c>
      <c r="X11" s="44">
        <v>222.53006629000006</v>
      </c>
      <c r="Y11" s="44">
        <v>128851.57318139999</v>
      </c>
      <c r="Z11" s="44">
        <v>183447.97858605999</v>
      </c>
      <c r="AA11" s="44">
        <v>75289.34714179</v>
      </c>
      <c r="AB11" s="44">
        <v>34280.463791399998</v>
      </c>
      <c r="AC11" s="44">
        <v>13565.661690280001</v>
      </c>
      <c r="AD11" s="44">
        <v>348.54953703000001</v>
      </c>
      <c r="AE11" s="44">
        <v>-43.711167589994147</v>
      </c>
    </row>
    <row r="12" spans="1:31" ht="15.75" x14ac:dyDescent="0.25">
      <c r="A12" s="25" t="s">
        <v>219</v>
      </c>
      <c r="B12" s="44">
        <v>343947.56884476001</v>
      </c>
      <c r="C12" s="44">
        <v>25431.121885550001</v>
      </c>
      <c r="D12" s="44">
        <v>311182.11762278999</v>
      </c>
      <c r="E12" s="44">
        <v>175138.65619236999</v>
      </c>
      <c r="F12" s="44">
        <v>1257.2692198000002</v>
      </c>
      <c r="G12" s="44">
        <v>115931.86532870001</v>
      </c>
      <c r="H12" s="44">
        <v>38637.100315200005</v>
      </c>
      <c r="I12" s="44">
        <v>17695.751864639999</v>
      </c>
      <c r="J12" s="44">
        <v>3490.7383318000002</v>
      </c>
      <c r="K12" s="44">
        <v>13293.3</v>
      </c>
      <c r="L12" s="44">
        <v>9799.6</v>
      </c>
      <c r="M12" s="44">
        <v>55484.463559770011</v>
      </c>
      <c r="N12" s="44">
        <v>76125.810105679993</v>
      </c>
      <c r="O12" s="44">
        <v>250486.18953907001</v>
      </c>
      <c r="P12" s="44">
        <v>76659.022190699994</v>
      </c>
      <c r="Q12" s="44">
        <v>4651.2973246900001</v>
      </c>
      <c r="R12" s="44">
        <v>116416.45142492</v>
      </c>
      <c r="S12" s="44">
        <v>42449.338898889997</v>
      </c>
      <c r="T12" s="44">
        <v>9474.382805629999</v>
      </c>
      <c r="U12" s="44">
        <v>1.08607E-3</v>
      </c>
      <c r="V12" s="44">
        <v>4.0054500399999995</v>
      </c>
      <c r="W12" s="44">
        <v>15180.128346690002</v>
      </c>
      <c r="X12" s="44">
        <v>231.21517224999999</v>
      </c>
      <c r="Y12" s="44">
        <v>160686.27530292002</v>
      </c>
      <c r="Z12" s="44">
        <v>230106.00012553998</v>
      </c>
      <c r="AA12" s="44">
        <v>90297.454716950015</v>
      </c>
      <c r="AB12" s="44">
        <v>40887.933654869994</v>
      </c>
      <c r="AC12" s="44">
        <v>13582.273298870001</v>
      </c>
      <c r="AD12" s="44">
        <v>358.50170807999996</v>
      </c>
      <c r="AE12" s="44">
        <v>4145.4817034000025</v>
      </c>
    </row>
    <row r="13" spans="1:31" ht="15.75" x14ac:dyDescent="0.25">
      <c r="A13" s="25" t="s">
        <v>220</v>
      </c>
      <c r="B13" s="44">
        <v>434146.07211718999</v>
      </c>
      <c r="C13" s="44">
        <v>30013.571188540001</v>
      </c>
      <c r="D13" s="44">
        <v>379160.29840113001</v>
      </c>
      <c r="E13" s="44">
        <v>217649.97158678999</v>
      </c>
      <c r="F13" s="44">
        <v>79.444489300000001</v>
      </c>
      <c r="G13" s="44">
        <v>134863.99500837998</v>
      </c>
      <c r="H13" s="44">
        <v>28032.155307929999</v>
      </c>
      <c r="I13" s="44">
        <v>20275.796726609999</v>
      </c>
      <c r="J13" s="44">
        <v>4054.2004985700005</v>
      </c>
      <c r="K13" s="44">
        <v>12438</v>
      </c>
      <c r="L13" s="44">
        <v>8642</v>
      </c>
      <c r="M13" s="44">
        <v>64320.471415810003</v>
      </c>
      <c r="N13" s="44">
        <v>84685.592542039987</v>
      </c>
      <c r="O13" s="44">
        <v>24501.963179999999</v>
      </c>
      <c r="P13" s="44">
        <v>7766.6239834900007</v>
      </c>
      <c r="Q13" s="44">
        <v>5784.8146745799995</v>
      </c>
      <c r="R13" s="44">
        <v>108069.42233618</v>
      </c>
      <c r="S13" s="44">
        <v>54140.008209729996</v>
      </c>
      <c r="T13" s="44">
        <v>11041.880279679999</v>
      </c>
      <c r="U13" s="44">
        <v>6.0702999999999994E-4</v>
      </c>
      <c r="V13" s="44">
        <v>5.3979719500000005</v>
      </c>
      <c r="W13" s="44">
        <v>18099.240768940002</v>
      </c>
      <c r="X13" s="44">
        <v>392.95975490000001</v>
      </c>
      <c r="Y13" s="44">
        <v>160523.00836916998</v>
      </c>
      <c r="Z13" s="44">
        <v>228874.35684573001</v>
      </c>
      <c r="AA13" s="44">
        <v>85258.416213079996</v>
      </c>
      <c r="AB13" s="44">
        <v>40160.477174739994</v>
      </c>
      <c r="AC13" s="44">
        <v>13310.99230337</v>
      </c>
      <c r="AD13" s="44">
        <v>365.06314441000006</v>
      </c>
      <c r="AE13" s="44">
        <v>-2646.7708566500046</v>
      </c>
    </row>
    <row r="14" spans="1:31" ht="15.75" x14ac:dyDescent="0.25">
      <c r="A14" s="25" t="s">
        <v>223</v>
      </c>
      <c r="B14" s="44">
        <v>375607.75153196999</v>
      </c>
      <c r="C14" s="44">
        <v>26822.506200119999</v>
      </c>
      <c r="D14" s="44">
        <v>340137.37826744997</v>
      </c>
      <c r="E14" s="44">
        <v>190704.23823267</v>
      </c>
      <c r="F14" s="44">
        <v>719.98418629000014</v>
      </c>
      <c r="G14" s="44">
        <v>121654.97861690001</v>
      </c>
      <c r="H14" s="44">
        <v>24942.38577166</v>
      </c>
      <c r="I14" s="44">
        <v>19087.948963619998</v>
      </c>
      <c r="J14" s="44">
        <v>3494.8927135899999</v>
      </c>
      <c r="K14" s="44">
        <v>13981.3</v>
      </c>
      <c r="L14" s="44">
        <v>9727.6</v>
      </c>
      <c r="M14" s="44">
        <v>56285.020337790003</v>
      </c>
      <c r="N14" s="44">
        <v>105769.4998811</v>
      </c>
      <c r="O14" s="44">
        <v>238995.37729829</v>
      </c>
      <c r="P14" s="44">
        <v>52708.929723700014</v>
      </c>
      <c r="Q14" s="44">
        <v>5223.2845965699989</v>
      </c>
      <c r="R14" s="44">
        <v>122854.06025374998</v>
      </c>
      <c r="S14" s="44">
        <v>46790.969914229994</v>
      </c>
      <c r="T14" s="44">
        <v>10232.98671474</v>
      </c>
      <c r="U14" s="44">
        <v>2.3606000000000004E-4</v>
      </c>
      <c r="V14" s="44">
        <v>3.7322004899999994</v>
      </c>
      <c r="W14" s="44">
        <v>16502.780297199999</v>
      </c>
      <c r="X14" s="44">
        <v>264.26276367999998</v>
      </c>
      <c r="Y14" s="44">
        <v>152602.34744745001</v>
      </c>
      <c r="Z14" s="44">
        <v>218168.29972156996</v>
      </c>
      <c r="AA14" s="44">
        <v>81511.953563339994</v>
      </c>
      <c r="AB14" s="44">
        <v>38233.329303869992</v>
      </c>
      <c r="AC14" s="44">
        <v>13093.843560189998</v>
      </c>
      <c r="AD14" s="44">
        <v>362.45166377999999</v>
      </c>
      <c r="AE14" s="44">
        <v>7770.8743106599886</v>
      </c>
    </row>
    <row r="15" spans="1:31" ht="15.75" x14ac:dyDescent="0.25">
      <c r="A15" s="25" t="s">
        <v>226</v>
      </c>
      <c r="B15" s="44">
        <v>441387.12545478996</v>
      </c>
      <c r="C15" s="44">
        <v>31687.062644470003</v>
      </c>
      <c r="D15" s="44">
        <v>413523.80098045</v>
      </c>
      <c r="E15" s="44">
        <v>231862.33572118002</v>
      </c>
      <c r="F15" s="44">
        <v>80.557196940000011</v>
      </c>
      <c r="G15" s="44">
        <v>140291.87907674999</v>
      </c>
      <c r="H15" s="44">
        <v>30634.381127140001</v>
      </c>
      <c r="I15" s="44">
        <v>21305.12886828</v>
      </c>
      <c r="J15" s="44">
        <v>4262.2203222999997</v>
      </c>
      <c r="K15" s="44">
        <v>16200</v>
      </c>
      <c r="L15" s="44">
        <v>11110</v>
      </c>
      <c r="M15" s="44">
        <v>66045.043104030003</v>
      </c>
      <c r="N15" s="44">
        <v>51453.979382719997</v>
      </c>
      <c r="O15" s="44">
        <v>24322.247450299998</v>
      </c>
      <c r="P15" s="44">
        <v>7360.4142774900001</v>
      </c>
      <c r="Q15" s="44">
        <v>6431.2209352299997</v>
      </c>
      <c r="R15" s="44">
        <v>148020.86689819</v>
      </c>
      <c r="S15" s="44">
        <v>57344.987448119995</v>
      </c>
      <c r="T15" s="44">
        <v>11566.242333529999</v>
      </c>
      <c r="U15" s="44">
        <v>1.2354499999999999E-3</v>
      </c>
      <c r="V15" s="44">
        <v>5.3223510000000003</v>
      </c>
      <c r="W15" s="44">
        <v>18354.331128670001</v>
      </c>
      <c r="X15" s="44">
        <v>439.73180218000005</v>
      </c>
      <c r="Y15" s="44">
        <v>184957.51673683999</v>
      </c>
      <c r="Z15" s="44">
        <v>266020.31077690003</v>
      </c>
      <c r="AA15" s="44">
        <v>101444.41962852</v>
      </c>
      <c r="AB15" s="44">
        <v>46207.110096620003</v>
      </c>
      <c r="AC15" s="44">
        <v>13514.88638313</v>
      </c>
      <c r="AD15" s="44">
        <v>363.93075974000004</v>
      </c>
      <c r="AE15" s="44">
        <v>-7249.2723983699889</v>
      </c>
    </row>
    <row r="16" spans="1:31" ht="15.75" x14ac:dyDescent="0.25">
      <c r="A16" s="25" t="s">
        <v>227</v>
      </c>
      <c r="B16" s="44">
        <v>393716.44409258</v>
      </c>
      <c r="C16" s="44">
        <v>40020.695458159993</v>
      </c>
      <c r="D16" s="44">
        <v>454589.49242122</v>
      </c>
      <c r="E16" s="44">
        <v>263942.36555215006</v>
      </c>
      <c r="F16" s="44">
        <v>-75.657994349999996</v>
      </c>
      <c r="G16" s="44">
        <v>152588.67200557998</v>
      </c>
      <c r="H16" s="44">
        <v>36074.199318589999</v>
      </c>
      <c r="I16" s="44">
        <v>27473.08173985</v>
      </c>
      <c r="J16" s="44">
        <v>4501.0070662799999</v>
      </c>
      <c r="K16" s="44">
        <v>8200</v>
      </c>
      <c r="L16" s="44">
        <v>14800</v>
      </c>
      <c r="M16" s="44">
        <v>76435.489901930006</v>
      </c>
      <c r="N16" s="44">
        <v>62021.56466691001</v>
      </c>
      <c r="O16" s="44">
        <v>16735.185044329999</v>
      </c>
      <c r="P16" s="44">
        <v>7170.1327820000006</v>
      </c>
      <c r="Q16" s="44">
        <v>6425.6409502799997</v>
      </c>
      <c r="R16" s="44">
        <v>215448.17490161001</v>
      </c>
      <c r="S16" s="44">
        <v>64651.984426009993</v>
      </c>
      <c r="T16" s="44">
        <v>13143.15666773</v>
      </c>
      <c r="U16" s="44">
        <v>1.6166000000000002E-4</v>
      </c>
      <c r="V16" s="44">
        <v>3.6841841000000004</v>
      </c>
      <c r="W16" s="44">
        <v>21337.253134720002</v>
      </c>
      <c r="X16" s="44">
        <v>608.90455670000006</v>
      </c>
      <c r="Y16" s="44">
        <v>192616.80466095998</v>
      </c>
      <c r="Z16" s="44">
        <v>292724.05357748998</v>
      </c>
      <c r="AA16" s="44">
        <v>104640.36901299999</v>
      </c>
      <c r="AB16" s="44">
        <v>47837.394118479991</v>
      </c>
      <c r="AC16" s="44">
        <v>14323.907420629999</v>
      </c>
      <c r="AD16" s="44">
        <v>408.19444231</v>
      </c>
      <c r="AE16" s="44">
        <v>1428.5865238999991</v>
      </c>
    </row>
    <row r="17" spans="1:31" ht="15.75" x14ac:dyDescent="0.25">
      <c r="A17" s="25" t="s">
        <v>221</v>
      </c>
      <c r="B17" s="44">
        <v>566037.26410754002</v>
      </c>
      <c r="C17" s="44">
        <v>51082.838112290003</v>
      </c>
      <c r="D17" s="44">
        <v>474524.56277419999</v>
      </c>
      <c r="E17" s="44">
        <v>306122.93695037998</v>
      </c>
      <c r="F17" s="44">
        <v>155.16079673999999</v>
      </c>
      <c r="G17" s="44">
        <v>184551.43670784001</v>
      </c>
      <c r="H17" s="44">
        <v>33122.146547180004</v>
      </c>
      <c r="I17" s="44">
        <v>24349.684969909998</v>
      </c>
      <c r="J17" s="44">
        <v>4234.6541712400003</v>
      </c>
      <c r="K17" s="44">
        <v>9700</v>
      </c>
      <c r="L17" s="44">
        <v>12850</v>
      </c>
      <c r="M17" s="44">
        <v>82570.223478259984</v>
      </c>
      <c r="N17" s="44">
        <v>55202.149821949992</v>
      </c>
      <c r="O17" s="44">
        <v>22340.925350899997</v>
      </c>
      <c r="P17" s="44">
        <v>7082.1027688899994</v>
      </c>
      <c r="Q17" s="44">
        <v>8395.0624997400009</v>
      </c>
      <c r="R17" s="44">
        <v>253862.55951011</v>
      </c>
      <c r="S17" s="44">
        <v>72621.183827479996</v>
      </c>
      <c r="T17" s="44">
        <v>16338.230711249998</v>
      </c>
      <c r="U17" s="44">
        <v>2.3595000000000002E-4</v>
      </c>
      <c r="V17" s="44">
        <v>1.6291337500000005</v>
      </c>
      <c r="W17" s="44">
        <v>25231.158848080002</v>
      </c>
      <c r="X17" s="44">
        <v>739.66647898999997</v>
      </c>
      <c r="Y17" s="44">
        <v>236967.58384164999</v>
      </c>
      <c r="Z17" s="44">
        <v>350036.39356594003</v>
      </c>
      <c r="AA17" s="44">
        <v>129060.90719666</v>
      </c>
      <c r="AB17" s="44">
        <v>57374.280913759998</v>
      </c>
      <c r="AC17" s="44">
        <v>14131.02896143</v>
      </c>
      <c r="AD17" s="44">
        <v>473.50811105000002</v>
      </c>
      <c r="AE17" s="44">
        <v>-5787.6242282800122</v>
      </c>
    </row>
    <row r="18" spans="1:31" ht="15.75" x14ac:dyDescent="0.25">
      <c r="A18" s="25" t="s">
        <v>224</v>
      </c>
      <c r="B18" s="44">
        <v>602833.12444123998</v>
      </c>
      <c r="C18" s="44">
        <v>55525.801278259998</v>
      </c>
      <c r="D18" s="44">
        <v>555117.01183212001</v>
      </c>
      <c r="E18" s="44">
        <v>335185.60955756</v>
      </c>
      <c r="F18" s="44">
        <v>-131.11725888000004</v>
      </c>
      <c r="G18" s="44">
        <v>207644.06675733003</v>
      </c>
      <c r="H18" s="44">
        <v>37233.805059959996</v>
      </c>
      <c r="I18" s="44">
        <v>30249.404758910001</v>
      </c>
      <c r="J18" s="44">
        <v>4852.4910841199999</v>
      </c>
      <c r="K18" s="44">
        <v>23000</v>
      </c>
      <c r="L18" s="44">
        <v>20200</v>
      </c>
      <c r="M18" s="44">
        <v>103997.58632972001</v>
      </c>
      <c r="N18" s="44">
        <v>110015.50518833</v>
      </c>
      <c r="O18" s="44">
        <v>31604.230492959996</v>
      </c>
      <c r="P18" s="44">
        <v>9367.0845993200001</v>
      </c>
      <c r="Q18" s="44">
        <v>8647.541667630001</v>
      </c>
      <c r="R18" s="44">
        <v>252385.14639231001</v>
      </c>
      <c r="S18" s="44">
        <v>82824.660785739979</v>
      </c>
      <c r="T18" s="44">
        <v>18294.104047820001</v>
      </c>
      <c r="U18" s="44">
        <v>1.7967899999999999E-3</v>
      </c>
      <c r="V18" s="44">
        <v>5.7039386300000015</v>
      </c>
      <c r="W18" s="44">
        <v>27448.358950720001</v>
      </c>
      <c r="X18" s="44">
        <v>606.17140427000004</v>
      </c>
      <c r="Y18" s="44">
        <v>246145.57564845</v>
      </c>
      <c r="Z18" s="44">
        <v>359651.84017438994</v>
      </c>
      <c r="AA18" s="44">
        <v>127598.05067642998</v>
      </c>
      <c r="AB18" s="44">
        <v>58825.342224439999</v>
      </c>
      <c r="AC18" s="44">
        <v>19939.784336349996</v>
      </c>
      <c r="AD18" s="44">
        <v>483.57050388000005</v>
      </c>
      <c r="AE18" s="44">
        <v>-6823.6296179599813</v>
      </c>
    </row>
    <row r="19" spans="1:31" ht="15.75" x14ac:dyDescent="0.25">
      <c r="A19" s="25" t="s">
        <v>228</v>
      </c>
      <c r="B19" s="44">
        <v>661236.54911875003</v>
      </c>
      <c r="C19" s="44">
        <v>65228.352928449996</v>
      </c>
      <c r="D19" s="44">
        <v>634968.00954569993</v>
      </c>
      <c r="E19" s="44">
        <v>401440.18829718005</v>
      </c>
      <c r="F19" s="44">
        <v>126.55472397</v>
      </c>
      <c r="G19" s="44">
        <v>236471.91902323003</v>
      </c>
      <c r="H19" s="44">
        <v>46152.070568120005</v>
      </c>
      <c r="I19" s="44">
        <v>37578.009430639999</v>
      </c>
      <c r="J19" s="44">
        <v>5835.8118022399995</v>
      </c>
      <c r="K19" s="44">
        <v>15000</v>
      </c>
      <c r="L19" s="44">
        <v>19600</v>
      </c>
      <c r="M19" s="44">
        <v>97239.308800619998</v>
      </c>
      <c r="N19" s="44">
        <v>51420.15413309999</v>
      </c>
      <c r="O19" s="44">
        <v>49306.86487944</v>
      </c>
      <c r="P19" s="44">
        <v>9197.8268484200016</v>
      </c>
      <c r="Q19" s="44">
        <v>10051.99632176</v>
      </c>
      <c r="R19" s="44">
        <v>230106.28759117998</v>
      </c>
      <c r="S19" s="44">
        <v>99690.732545420004</v>
      </c>
      <c r="T19" s="44">
        <v>19884.733197130001</v>
      </c>
      <c r="U19" s="44">
        <v>1.090639E-2</v>
      </c>
      <c r="V19" s="44">
        <v>10.467713170000003</v>
      </c>
      <c r="W19" s="44">
        <v>31342.696141839999</v>
      </c>
      <c r="X19" s="44">
        <v>758.5193528100001</v>
      </c>
      <c r="Y19" s="44">
        <v>303674.69887898007</v>
      </c>
      <c r="Z19" s="44">
        <v>447308.84602732002</v>
      </c>
      <c r="AA19" s="44">
        <v>163805.90862379997</v>
      </c>
      <c r="AB19" s="44">
        <v>72743.489073379998</v>
      </c>
      <c r="AC19" s="44">
        <v>20464.092728610001</v>
      </c>
      <c r="AD19" s="44">
        <v>492.16337056999993</v>
      </c>
      <c r="AE19" s="44">
        <v>16131.619870879991</v>
      </c>
    </row>
    <row r="20" spans="1:31" ht="15.75" x14ac:dyDescent="0.25">
      <c r="A20" s="25" t="s">
        <v>229</v>
      </c>
      <c r="B20" s="44">
        <v>662455.83106771996</v>
      </c>
      <c r="C20" s="44">
        <v>77685.644537460001</v>
      </c>
      <c r="D20" s="44">
        <v>714753.10777760006</v>
      </c>
      <c r="E20" s="44">
        <v>453781.45420248993</v>
      </c>
      <c r="F20" s="44">
        <v>10.004079290000005</v>
      </c>
      <c r="G20" s="44">
        <v>250824.86949655</v>
      </c>
      <c r="H20" s="44">
        <v>40830.781886680001</v>
      </c>
      <c r="I20" s="44">
        <v>41583.189623229999</v>
      </c>
      <c r="J20" s="44">
        <v>5504.6430604099996</v>
      </c>
      <c r="K20" s="44">
        <v>24900</v>
      </c>
      <c r="L20" s="44">
        <v>19900</v>
      </c>
      <c r="M20" s="44">
        <v>91021.293774860009</v>
      </c>
      <c r="N20" s="44">
        <v>75374.068402379999</v>
      </c>
      <c r="O20" s="44">
        <v>65751.064267559996</v>
      </c>
      <c r="P20" s="44">
        <v>11296.71367942</v>
      </c>
      <c r="Q20" s="44">
        <v>10020.83086027</v>
      </c>
      <c r="R20" s="44">
        <v>344072.64584878995</v>
      </c>
      <c r="S20" s="44">
        <v>107432.59039533001</v>
      </c>
      <c r="T20" s="44">
        <v>21918.149947309998</v>
      </c>
      <c r="U20" s="44">
        <v>0.19825562000000002</v>
      </c>
      <c r="V20" s="44">
        <v>30.456585960000002</v>
      </c>
      <c r="W20" s="44">
        <v>34594.855493750001</v>
      </c>
      <c r="X20" s="44">
        <v>1129.79153666</v>
      </c>
      <c r="Y20" s="44">
        <v>319272.25597211998</v>
      </c>
      <c r="Z20" s="44">
        <v>493107.52580170007</v>
      </c>
      <c r="AA20" s="44">
        <v>171896.58014038001</v>
      </c>
      <c r="AB20" s="44">
        <v>76504.449554769992</v>
      </c>
      <c r="AC20" s="44">
        <v>24570.253648380003</v>
      </c>
      <c r="AD20" s="44">
        <v>683.42590770999993</v>
      </c>
      <c r="AE20" s="44">
        <v>7198.7605314800021</v>
      </c>
    </row>
    <row r="21" spans="1:31" ht="15.75" x14ac:dyDescent="0.25">
      <c r="A21" s="25" t="s">
        <v>222</v>
      </c>
      <c r="B21" s="44">
        <v>1199226.3194017799</v>
      </c>
      <c r="C21" s="44">
        <v>96271.22620265001</v>
      </c>
      <c r="D21" s="44">
        <v>830443.8929341</v>
      </c>
      <c r="E21" s="44">
        <v>557949.42936556996</v>
      </c>
      <c r="F21" s="44">
        <v>-17.541221720000003</v>
      </c>
      <c r="G21" s="44">
        <v>329421.19952458004</v>
      </c>
      <c r="H21" s="44">
        <v>46818.56996605001</v>
      </c>
      <c r="I21" s="44">
        <v>48840.559301309993</v>
      </c>
      <c r="J21" s="44">
        <v>6284.4481333000003</v>
      </c>
      <c r="K21" s="44">
        <v>15650</v>
      </c>
      <c r="L21" s="44">
        <v>15070</v>
      </c>
      <c r="M21" s="44">
        <v>108561.70930108</v>
      </c>
      <c r="N21" s="44">
        <v>129715.47187880002</v>
      </c>
      <c r="O21" s="44">
        <v>90194.022268679983</v>
      </c>
      <c r="P21" s="44">
        <v>8043.4957350299974</v>
      </c>
      <c r="Q21" s="44">
        <v>13214.203782429999</v>
      </c>
      <c r="R21" s="44">
        <v>336311.61734596</v>
      </c>
      <c r="S21" s="44">
        <v>125347.50731099999</v>
      </c>
      <c r="T21" s="44">
        <v>26526.992616449999</v>
      </c>
      <c r="U21" s="44">
        <v>0.92672408999999989</v>
      </c>
      <c r="V21" s="44">
        <v>16.428935239999998</v>
      </c>
      <c r="W21" s="44">
        <v>41969.767964090002</v>
      </c>
      <c r="X21" s="44">
        <v>1283.3680578499998</v>
      </c>
      <c r="Y21" s="44">
        <v>421026.25047894998</v>
      </c>
      <c r="Z21" s="44">
        <v>629498.19200941001</v>
      </c>
      <c r="AA21" s="44">
        <v>223454.43943312997</v>
      </c>
      <c r="AB21" s="44">
        <v>97563.439935670001</v>
      </c>
      <c r="AC21" s="44">
        <v>25765.76877414</v>
      </c>
      <c r="AD21" s="44">
        <v>759.75387389000014</v>
      </c>
      <c r="AE21" s="44">
        <v>6939.1079231600352</v>
      </c>
    </row>
    <row r="22" spans="1:31" ht="15.75" x14ac:dyDescent="0.25">
      <c r="A22" s="25" t="s">
        <v>225</v>
      </c>
      <c r="B22" s="44">
        <v>1253869.1011157599</v>
      </c>
      <c r="C22" s="44">
        <v>104052.27067031999</v>
      </c>
      <c r="D22" s="44">
        <v>1076219.0489186801</v>
      </c>
      <c r="E22" s="44">
        <v>638653.6686023199</v>
      </c>
      <c r="F22" s="44">
        <v>363.53532623000007</v>
      </c>
      <c r="G22" s="44">
        <v>387237.85794730997</v>
      </c>
      <c r="H22" s="44">
        <v>63646.33554629999</v>
      </c>
      <c r="I22" s="44">
        <v>57590.530369240005</v>
      </c>
      <c r="J22" s="44">
        <v>7491.0461833900008</v>
      </c>
      <c r="K22" s="44">
        <v>34560</v>
      </c>
      <c r="L22" s="44">
        <v>51000</v>
      </c>
      <c r="M22" s="44">
        <v>113701.62526234999</v>
      </c>
      <c r="N22" s="44">
        <v>134914.49502805001</v>
      </c>
      <c r="O22" s="44">
        <v>113516.84407251002</v>
      </c>
      <c r="P22" s="44">
        <v>9400.0855970499997</v>
      </c>
      <c r="Q22" s="44">
        <v>14589.652167569999</v>
      </c>
      <c r="R22" s="44">
        <v>630854.98921618005</v>
      </c>
      <c r="S22" s="44">
        <v>151392.27481862</v>
      </c>
      <c r="T22" s="44">
        <v>31482.051940029996</v>
      </c>
      <c r="U22" s="44">
        <v>2.3595000000000002E-4</v>
      </c>
      <c r="V22" s="44">
        <v>5.8423756599999983</v>
      </c>
      <c r="W22" s="44">
        <v>45777.588114039987</v>
      </c>
      <c r="X22" s="44">
        <v>1632.9607005000003</v>
      </c>
      <c r="Y22" s="44">
        <v>446547.19614920008</v>
      </c>
      <c r="Z22" s="44">
        <v>673139.97753358004</v>
      </c>
      <c r="AA22" s="44">
        <v>231897.71724956995</v>
      </c>
      <c r="AB22" s="44">
        <v>105899.74029893</v>
      </c>
      <c r="AC22" s="44">
        <v>26614.754373650001</v>
      </c>
      <c r="AD22" s="44">
        <v>778.1262652700002</v>
      </c>
      <c r="AE22" s="44">
        <v>4016.1230206600258</v>
      </c>
    </row>
    <row r="23" spans="1:31" ht="15.75" x14ac:dyDescent="0.25">
      <c r="A23" s="25" t="s">
        <v>230</v>
      </c>
      <c r="B23" s="43">
        <f>SUM('20-24'!B49:B51)</f>
        <v>1929540.5004593697</v>
      </c>
      <c r="C23" s="43">
        <f>SUM('20-24'!C49:C51)</f>
        <v>186139.31047534</v>
      </c>
      <c r="D23" s="43">
        <f>SUM('20-24'!D49:D51)</f>
        <v>1990009.2002562801</v>
      </c>
      <c r="E23" s="43">
        <f>SUM('20-24'!E49:E51)</f>
        <v>1153576.9511656403</v>
      </c>
      <c r="F23" s="43">
        <f>SUM('20-24'!F49:F51)</f>
        <v>222.94434159000002</v>
      </c>
      <c r="G23" s="43">
        <f>SUM('20-24'!G49:G51)</f>
        <v>642962.54632180999</v>
      </c>
      <c r="H23" s="43">
        <f>SUM('20-24'!H49:H51)</f>
        <v>98244.561717889985</v>
      </c>
      <c r="I23" s="43">
        <f>SUM('20-24'!I49:I51)</f>
        <v>113166.33969349001</v>
      </c>
      <c r="J23" s="43">
        <f>SUM('20-24'!J49:J51)</f>
        <v>12023.519885930002</v>
      </c>
      <c r="K23" s="43">
        <f>SUM('20-24'!K49:K51)</f>
        <v>55000</v>
      </c>
      <c r="L23" s="43">
        <f>SUM('20-24'!L49:L51)</f>
        <v>52500</v>
      </c>
      <c r="M23" s="43">
        <f>SUM('20-24'!M49:M51)</f>
        <v>137115.00677113998</v>
      </c>
      <c r="N23" s="43">
        <f>SUM('20-24'!N49:N51)</f>
        <v>306323.48363287002</v>
      </c>
      <c r="O23" s="43">
        <f>SUM('20-24'!O49:O51)</f>
        <v>139197.57268240998</v>
      </c>
      <c r="P23" s="43">
        <f>SUM('20-24'!P49:P51)</f>
        <v>18417.973692599997</v>
      </c>
      <c r="Q23" s="43">
        <f>SUM('20-24'!Q49:Q51)</f>
        <v>25986.658775029999</v>
      </c>
      <c r="R23" s="43">
        <f>SUM('20-24'!R49:R51)</f>
        <v>409302.90185010002</v>
      </c>
      <c r="S23" s="43">
        <f>SUM('20-24'!S49:S51)</f>
        <v>224612.37759326998</v>
      </c>
      <c r="T23" s="43">
        <f>SUM('20-24'!T49:T51)</f>
        <v>42333.826929860006</v>
      </c>
      <c r="U23" s="43">
        <f>SUM('20-24'!U49:U51)</f>
        <v>5.2527800000000003E-3</v>
      </c>
      <c r="V23" s="43">
        <f>SUM('20-24'!V49:V51)</f>
        <v>5.4261145100000006</v>
      </c>
      <c r="W23" s="43">
        <f>SUM('20-24'!W49:W51)</f>
        <v>63412.562439950008</v>
      </c>
      <c r="X23" s="43">
        <f>SUM('20-24'!X49:X51)</f>
        <v>3397.8143583000001</v>
      </c>
      <c r="Y23" s="43">
        <f>SUM('20-24'!Y49:Y51)</f>
        <v>1067274.7583631501</v>
      </c>
      <c r="Z23" s="43">
        <f>SUM('20-24'!Z49:Z51)</f>
        <v>907283.09844481002</v>
      </c>
      <c r="AA23" s="43">
        <f>SUM('20-24'!AA49:AA51)</f>
        <v>403192.26598306</v>
      </c>
      <c r="AB23" s="43">
        <f>SUM('20-24'!AB49:AB51)</f>
        <v>180166.91935013997</v>
      </c>
      <c r="AC23" s="43">
        <f>SUM('20-24'!AC49:AC51)</f>
        <v>51411.305930980001</v>
      </c>
      <c r="AD23" s="43">
        <f>SUM('20-24'!AD49:AD51)</f>
        <v>1649.2813450600001</v>
      </c>
      <c r="AE23" s="43">
        <f>SUM('20-24'!AE49:AE51)</f>
        <v>-19428.236799499977</v>
      </c>
    </row>
    <row r="24" spans="1:31" ht="15.75" x14ac:dyDescent="0.25">
      <c r="A24" s="25" t="s">
        <v>231</v>
      </c>
      <c r="B24" s="43">
        <f>SUM('20-24'!B52:B54)</f>
        <v>2113840.4089700901</v>
      </c>
      <c r="C24" s="43">
        <f>SUM('20-24'!C52:C54)</f>
        <v>257178.70002817002</v>
      </c>
      <c r="D24" s="43">
        <f>SUM('20-24'!D52:D54)</f>
        <v>2611727.00914024</v>
      </c>
      <c r="E24" s="43">
        <f>SUM('20-24'!E52:E54)</f>
        <v>1608509.35242446</v>
      </c>
      <c r="F24" s="43">
        <f>SUM('20-24'!F52:F54)</f>
        <v>261.57523810999999</v>
      </c>
      <c r="G24" s="43">
        <f>SUM('20-24'!G52:G54)</f>
        <v>851994.05893299007</v>
      </c>
      <c r="H24" s="43">
        <f>SUM('20-24'!H52:H54)</f>
        <v>111903.81772763998</v>
      </c>
      <c r="I24" s="43">
        <f>SUM('20-24'!I52:I54)</f>
        <v>137742.7381248</v>
      </c>
      <c r="J24" s="43">
        <f>SUM('20-24'!J52:J54)</f>
        <v>14052.733224880001</v>
      </c>
      <c r="K24" s="43">
        <f>SUM('20-24'!K52:K54)</f>
        <v>48000</v>
      </c>
      <c r="L24" s="43">
        <f>SUM('20-24'!L52:L54)</f>
        <v>64850</v>
      </c>
      <c r="M24" s="43">
        <f>SUM('20-24'!M52:M54)</f>
        <v>144100.00632544002</v>
      </c>
      <c r="N24" s="43">
        <f>SUM('20-24'!N52:N54)</f>
        <v>239598.62411152004</v>
      </c>
      <c r="O24" s="43">
        <f>SUM('20-24'!O52:O54)</f>
        <v>513884.15367212001</v>
      </c>
      <c r="P24" s="43">
        <f>SUM('20-24'!P52:P54)</f>
        <v>17803.408369730001</v>
      </c>
      <c r="Q24" s="43">
        <f>SUM('20-24'!Q52:Q54)</f>
        <v>31509.403459249999</v>
      </c>
      <c r="R24" s="43">
        <f>SUM('20-24'!R52:R54)</f>
        <v>340254.95995888999</v>
      </c>
      <c r="S24" s="43">
        <f>SUM('20-24'!S52:S54)</f>
        <v>333063.44980826997</v>
      </c>
      <c r="T24" s="43">
        <f>SUM('20-24'!T52:T54)</f>
        <v>62903.824010379998</v>
      </c>
      <c r="U24" s="43">
        <f>SUM('20-24'!U52:U54)</f>
        <v>1.7486999999999998E-4</v>
      </c>
      <c r="V24" s="43">
        <f>SUM('20-24'!V52:V54)</f>
        <v>7.673182940000002</v>
      </c>
      <c r="W24" s="43">
        <f>SUM('20-24'!W52:W54)</f>
        <v>87364.371625800006</v>
      </c>
      <c r="X24" s="43">
        <f>SUM('20-24'!X52:X54)</f>
        <v>5234.80368232</v>
      </c>
      <c r="Y24" s="43">
        <f>SUM('20-24'!Y52:Y54)</f>
        <v>1598655.42186529</v>
      </c>
      <c r="Z24" s="43">
        <f>SUM('20-24'!Z52:Z54)</f>
        <v>1028773.1013956601</v>
      </c>
      <c r="AA24" s="43">
        <f>SUM('20-24'!AA52:AA54)</f>
        <v>558488.85916640994</v>
      </c>
      <c r="AB24" s="43">
        <f>SUM('20-24'!AB52:AB54)</f>
        <v>249902.42031326005</v>
      </c>
      <c r="AC24" s="43">
        <f>SUM('20-24'!AC52:AC54)</f>
        <v>55811.07082677001</v>
      </c>
      <c r="AD24" s="43">
        <f>SUM('20-24'!AD52:AD54)</f>
        <v>1687.50918864</v>
      </c>
      <c r="AE24" s="43">
        <f>SUM('20-24'!AE52:AE54)</f>
        <v>38147.532799340035</v>
      </c>
    </row>
    <row r="25" spans="1:31" ht="15.75" x14ac:dyDescent="0.25">
      <c r="A25" s="25" t="s">
        <v>232</v>
      </c>
      <c r="B25" s="43">
        <f>SUM('20-24'!B55:B57)</f>
        <v>2616499.07317058</v>
      </c>
      <c r="C25" s="43">
        <f>SUM('20-24'!C55:C57)</f>
        <v>294273.52315776999</v>
      </c>
      <c r="D25" s="43">
        <f>SUM('20-24'!D55:D57)</f>
        <v>3405898.7458551298</v>
      </c>
      <c r="E25" s="43">
        <f>SUM('20-24'!E55:E57)</f>
        <v>1905513.4392882001</v>
      </c>
      <c r="F25" s="43">
        <f>SUM('20-24'!F55:F57)</f>
        <v>352.77902799999993</v>
      </c>
      <c r="G25" s="43">
        <f>SUM('20-24'!G55:G57)</f>
        <v>1163372.4555745102</v>
      </c>
      <c r="H25" s="43">
        <f>SUM('20-24'!H55:H57)</f>
        <v>154732.87430227001</v>
      </c>
      <c r="I25" s="43">
        <f>SUM('20-24'!I55:I57)</f>
        <v>224852.70969708994</v>
      </c>
      <c r="J25" s="43">
        <f>SUM('20-24'!J55:J57)</f>
        <v>19642.344742699999</v>
      </c>
      <c r="K25" s="43">
        <f>SUM('20-24'!K55:K57)</f>
        <v>49200</v>
      </c>
      <c r="L25" s="43">
        <f>SUM('20-24'!L55:L57)</f>
        <v>70000</v>
      </c>
      <c r="M25" s="43">
        <f>SUM('20-24'!M55:M57)</f>
        <v>151431.99251412001</v>
      </c>
      <c r="N25" s="43">
        <f>SUM('20-24'!N55:N57)</f>
        <v>333760.39288623002</v>
      </c>
      <c r="O25" s="43">
        <f>SUM('20-24'!O55:O57)</f>
        <v>743658.97941955994</v>
      </c>
      <c r="P25" s="43">
        <f>SUM('20-24'!P55:P57)</f>
        <v>15280.709743450003</v>
      </c>
      <c r="Q25" s="43">
        <f>SUM('20-24'!Q55:Q57)</f>
        <v>41793.052001749995</v>
      </c>
      <c r="R25" s="43">
        <f>SUM('20-24'!R55:R57)</f>
        <v>633078.68956318009</v>
      </c>
      <c r="S25" s="43">
        <f>SUM('20-24'!S55:S57)</f>
        <v>405179.33038924995</v>
      </c>
      <c r="T25" s="43">
        <f>SUM('20-24'!T55:T57)</f>
        <v>74859.345574310006</v>
      </c>
      <c r="U25" s="43">
        <f>SUM('20-24'!U55:U57)</f>
        <v>0</v>
      </c>
      <c r="V25" s="43">
        <f>SUM('20-24'!V55:V57)</f>
        <v>22.56585815</v>
      </c>
      <c r="W25" s="43">
        <f>SUM('20-24'!W55:W57)</f>
        <v>102848.44436182</v>
      </c>
      <c r="X25" s="43">
        <f>SUM('20-24'!X55:X57)</f>
        <v>7070.1701799499997</v>
      </c>
      <c r="Y25" s="43">
        <f>SUM('20-24'!Y55:Y57)</f>
        <v>1837669.9847244504</v>
      </c>
      <c r="Z25" s="43">
        <f>SUM('20-24'!Z55:Z57)</f>
        <v>1185651.91037862</v>
      </c>
      <c r="AA25" s="43">
        <f>SUM('20-24'!AA55:AA57)</f>
        <v>649238.69352225005</v>
      </c>
      <c r="AB25" s="43">
        <f>SUM('20-24'!AB55:AB57)</f>
        <v>294833.59709112998</v>
      </c>
      <c r="AC25" s="43">
        <f>SUM('20-24'!AC55:AC57)</f>
        <v>58536.37613461</v>
      </c>
      <c r="AD25" s="43">
        <f>SUM('20-24'!AD55:AD57)</f>
        <v>1706.6191409500002</v>
      </c>
      <c r="AE25" s="43">
        <f>SUM('20-24'!AE55:AE57)</f>
        <v>15792.338726360045</v>
      </c>
    </row>
    <row r="26" spans="1:31" ht="15.75" x14ac:dyDescent="0.25">
      <c r="A26" s="25" t="s">
        <v>233</v>
      </c>
      <c r="B26" s="43">
        <f>SUM('20-24'!B58:B60)</f>
        <v>822442.50574255025</v>
      </c>
      <c r="C26" s="43">
        <f>SUM('20-24'!C58:C60)</f>
        <v>199460.24454868</v>
      </c>
      <c r="D26" s="43">
        <f>SUM('20-24'!D58:D60)</f>
        <v>1604347.6970647702</v>
      </c>
      <c r="E26" s="43">
        <f>SUM('20-24'!E58:E60)</f>
        <v>1271449.5610116802</v>
      </c>
      <c r="F26" s="43">
        <f>SUM('20-24'!F58:F60)</f>
        <v>0</v>
      </c>
      <c r="G26" s="43">
        <f>SUM('20-24'!G58:G60)</f>
        <v>463278.38607327</v>
      </c>
      <c r="H26" s="43">
        <f>SUM('20-24'!H58:H60)</f>
        <v>76742.201765070015</v>
      </c>
      <c r="I26" s="43">
        <f>SUM('20-24'!I58:I60)</f>
        <v>94787.874245219995</v>
      </c>
      <c r="J26" s="43">
        <f>SUM('20-24'!J58:J60)</f>
        <v>9678.9743458899993</v>
      </c>
      <c r="K26" s="43">
        <f>SUM('20-24'!K58:K60)</f>
        <v>25000</v>
      </c>
      <c r="L26" s="43">
        <f>SUM('20-24'!L58:L60)</f>
        <v>30000</v>
      </c>
      <c r="M26" s="43">
        <f>SUM('20-24'!M58:M60)</f>
        <v>46121.275450749992</v>
      </c>
      <c r="N26" s="43">
        <f>SUM('20-24'!N58:N60)</f>
        <v>32552.081508910007</v>
      </c>
      <c r="O26" s="43">
        <f>SUM('20-24'!O58:O60)</f>
        <v>469198.66156141006</v>
      </c>
      <c r="P26" s="43">
        <f>SUM('20-24'!P58:P60)</f>
        <v>9004.1273324400026</v>
      </c>
      <c r="Q26" s="43">
        <f>SUM('20-24'!Q58:Q60)</f>
        <v>17324.001481960004</v>
      </c>
      <c r="R26" s="43">
        <f>SUM('20-24'!R58:R60)</f>
        <v>645168.01848032011</v>
      </c>
      <c r="S26" s="43">
        <f>SUM('20-24'!S58:S60)</f>
        <v>274537.92983271001</v>
      </c>
      <c r="T26" s="43">
        <f>SUM('20-24'!T58:T60)</f>
        <v>50133.37233505999</v>
      </c>
      <c r="U26" s="43">
        <f>SUM('20-24'!U58:U60)</f>
        <v>0</v>
      </c>
      <c r="V26" s="43">
        <f>SUM('20-24'!V58:V60)</f>
        <v>1.11431474</v>
      </c>
      <c r="W26" s="43">
        <f>SUM('20-24'!W58:W60)</f>
        <v>67970.002589819997</v>
      </c>
      <c r="X26" s="43">
        <f>SUM('20-24'!X58:X60)</f>
        <v>4679.1061483699996</v>
      </c>
      <c r="Y26" s="43">
        <f>SUM('20-24'!Y58:Y60)</f>
        <v>1033238.2054581899</v>
      </c>
      <c r="Z26" s="43">
        <f>SUM('20-24'!Z58:Z60)</f>
        <v>637396.44078919012</v>
      </c>
      <c r="AA26" s="43">
        <f>SUM('20-24'!AA58:AA60)</f>
        <v>392097.14966731</v>
      </c>
      <c r="AB26" s="43">
        <f>SUM('20-24'!AB58:AB60)</f>
        <v>174005.29267455995</v>
      </c>
      <c r="AC26" s="43">
        <f>SUM('20-24'!AC58:AC60)</f>
        <v>27615.1458188</v>
      </c>
      <c r="AD26" s="43">
        <f>SUM('20-24'!AD58:AD60)</f>
        <v>580.07016159000011</v>
      </c>
      <c r="AE26" s="43">
        <f>SUM('20-24'!AE58:AE60)</f>
        <v>3736.375900010004</v>
      </c>
    </row>
  </sheetData>
  <mergeCells count="31">
    <mergeCell ref="A6:A9"/>
    <mergeCell ref="B6:AE6"/>
    <mergeCell ref="B7:Q7"/>
    <mergeCell ref="R7:X7"/>
    <mergeCell ref="Y7:AE7"/>
    <mergeCell ref="B8:C8"/>
    <mergeCell ref="D8:E8"/>
    <mergeCell ref="F8:F9"/>
    <mergeCell ref="G8:G9"/>
    <mergeCell ref="H8:I8"/>
    <mergeCell ref="V8:V9"/>
    <mergeCell ref="J8:J9"/>
    <mergeCell ref="K8:L8"/>
    <mergeCell ref="M8:M9"/>
    <mergeCell ref="N8:N9"/>
    <mergeCell ref="O8:O9"/>
    <mergeCell ref="U8:U9"/>
    <mergeCell ref="P8:P9"/>
    <mergeCell ref="Q8:Q9"/>
    <mergeCell ref="R8:R9"/>
    <mergeCell ref="S8:S9"/>
    <mergeCell ref="T8:T9"/>
    <mergeCell ref="AC8:AC9"/>
    <mergeCell ref="AD8:AD9"/>
    <mergeCell ref="AE8:AE9"/>
    <mergeCell ref="W8:W9"/>
    <mergeCell ref="X8:X9"/>
    <mergeCell ref="Y8:Y9"/>
    <mergeCell ref="Z8:Z9"/>
    <mergeCell ref="AA8:AA9"/>
    <mergeCell ref="AB8:AB9"/>
  </mergeCells>
  <phoneticPr fontId="6" type="noConversion"/>
  <hyperlinks>
    <hyperlink ref="B4" r:id="rId1" xr:uid="{5EE4EFC5-2182-482E-A4EE-F7ADA5C53C07}"/>
    <hyperlink ref="E4" location="INDICE!A1" display="Volver al indice" xr:uid="{CE025021-762E-40E3-A919-D41BE0D093BC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84231-64AF-4929-9FF9-EB9E47CA10D8}">
  <dimension ref="A1:AE14"/>
  <sheetViews>
    <sheetView tabSelected="1" workbookViewId="0">
      <selection activeCell="I18" sqref="I18"/>
    </sheetView>
  </sheetViews>
  <sheetFormatPr baseColWidth="10" defaultColWidth="11.42578125" defaultRowHeight="15" x14ac:dyDescent="0.25"/>
  <cols>
    <col min="2" max="2" width="14.85546875" bestFit="1" customWidth="1"/>
    <col min="3" max="3" width="13.42578125" bestFit="1" customWidth="1"/>
    <col min="4" max="5" width="14.85546875" bestFit="1" customWidth="1"/>
    <col min="6" max="6" width="11.5703125" bestFit="1" customWidth="1"/>
    <col min="7" max="9" width="13.42578125" bestFit="1" customWidth="1"/>
    <col min="10" max="12" width="12" bestFit="1" customWidth="1"/>
    <col min="13" max="15" width="13.42578125" bestFit="1" customWidth="1"/>
    <col min="16" max="17" width="12" bestFit="1" customWidth="1"/>
    <col min="18" max="18" width="14.85546875" bestFit="1" customWidth="1"/>
    <col min="19" max="19" width="13.42578125" bestFit="1" customWidth="1"/>
    <col min="20" max="20" width="12" bestFit="1" customWidth="1"/>
    <col min="21" max="22" width="11.5703125" bestFit="1" customWidth="1"/>
    <col min="23" max="23" width="13.42578125" bestFit="1" customWidth="1"/>
    <col min="24" max="24" width="11.5703125" bestFit="1" customWidth="1"/>
    <col min="25" max="26" width="14.85546875" bestFit="1" customWidth="1"/>
    <col min="27" max="28" width="13.42578125" bestFit="1" customWidth="1"/>
    <col min="29" max="29" width="12" bestFit="1" customWidth="1"/>
    <col min="30" max="31" width="11.5703125" bestFit="1" customWidth="1"/>
  </cols>
  <sheetData>
    <row r="1" spans="1:31" ht="23.25" x14ac:dyDescent="0.35">
      <c r="A1" s="17" t="s">
        <v>25</v>
      </c>
    </row>
    <row r="2" spans="1:31" ht="21" x14ac:dyDescent="0.35">
      <c r="A2" s="18" t="s">
        <v>209</v>
      </c>
    </row>
    <row r="3" spans="1:31" x14ac:dyDescent="0.25">
      <c r="A3" t="s">
        <v>186</v>
      </c>
    </row>
    <row r="4" spans="1:31" x14ac:dyDescent="0.25">
      <c r="A4" t="s">
        <v>28</v>
      </c>
      <c r="B4" s="35" t="s">
        <v>29</v>
      </c>
      <c r="E4" s="35" t="s">
        <v>30</v>
      </c>
    </row>
    <row r="6" spans="1:31" ht="15.75" x14ac:dyDescent="0.25">
      <c r="A6" s="52" t="s">
        <v>31</v>
      </c>
      <c r="B6" s="53" t="s">
        <v>32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</row>
    <row r="7" spans="1:31" ht="15.75" x14ac:dyDescent="0.25">
      <c r="A7" s="52"/>
      <c r="B7" s="56" t="s">
        <v>33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  <c r="R7" s="55" t="s">
        <v>34</v>
      </c>
      <c r="S7" s="56"/>
      <c r="T7" s="56"/>
      <c r="U7" s="56"/>
      <c r="V7" s="56"/>
      <c r="W7" s="56"/>
      <c r="X7" s="57"/>
      <c r="Y7" s="58" t="s">
        <v>35</v>
      </c>
      <c r="Z7" s="59"/>
      <c r="AA7" s="59"/>
      <c r="AB7" s="59"/>
      <c r="AC7" s="59"/>
      <c r="AD7" s="59"/>
      <c r="AE7" s="59"/>
    </row>
    <row r="8" spans="1:31" ht="15.75" x14ac:dyDescent="0.25">
      <c r="A8" s="52"/>
      <c r="B8" s="56" t="s">
        <v>36</v>
      </c>
      <c r="C8" s="57"/>
      <c r="D8" s="55" t="s">
        <v>37</v>
      </c>
      <c r="E8" s="56"/>
      <c r="F8" s="46" t="s">
        <v>38</v>
      </c>
      <c r="G8" s="46" t="s">
        <v>39</v>
      </c>
      <c r="H8" s="60" t="s">
        <v>40</v>
      </c>
      <c r="I8" s="60"/>
      <c r="J8" s="46" t="s">
        <v>41</v>
      </c>
      <c r="K8" s="60" t="s">
        <v>42</v>
      </c>
      <c r="L8" s="60"/>
      <c r="M8" s="50" t="s">
        <v>216</v>
      </c>
      <c r="N8" s="46" t="s">
        <v>44</v>
      </c>
      <c r="O8" s="46" t="s">
        <v>45</v>
      </c>
      <c r="P8" s="46" t="s">
        <v>46</v>
      </c>
      <c r="Q8" s="48" t="s">
        <v>47</v>
      </c>
      <c r="R8" s="51" t="s">
        <v>48</v>
      </c>
      <c r="S8" s="47" t="s">
        <v>49</v>
      </c>
      <c r="T8" s="47" t="s">
        <v>50</v>
      </c>
      <c r="U8" s="47" t="s">
        <v>51</v>
      </c>
      <c r="V8" s="47" t="s">
        <v>52</v>
      </c>
      <c r="W8" s="47" t="s">
        <v>53</v>
      </c>
      <c r="X8" s="49" t="s">
        <v>54</v>
      </c>
      <c r="Y8" s="50" t="s">
        <v>211</v>
      </c>
      <c r="Z8" s="46" t="s">
        <v>212</v>
      </c>
      <c r="AA8" s="46" t="s">
        <v>56</v>
      </c>
      <c r="AB8" s="46" t="s">
        <v>57</v>
      </c>
      <c r="AC8" s="46" t="s">
        <v>213</v>
      </c>
      <c r="AD8" s="46" t="s">
        <v>214</v>
      </c>
      <c r="AE8" s="46" t="s">
        <v>60</v>
      </c>
    </row>
    <row r="9" spans="1:31" ht="31.5" x14ac:dyDescent="0.25">
      <c r="A9" s="52"/>
      <c r="B9" s="11" t="s">
        <v>61</v>
      </c>
      <c r="C9" s="12" t="s">
        <v>62</v>
      </c>
      <c r="D9" s="11" t="s">
        <v>63</v>
      </c>
      <c r="E9" s="11" t="s">
        <v>64</v>
      </c>
      <c r="F9" s="47"/>
      <c r="G9" s="47"/>
      <c r="H9" s="11" t="s">
        <v>65</v>
      </c>
      <c r="I9" s="11" t="s">
        <v>54</v>
      </c>
      <c r="J9" s="47"/>
      <c r="K9" s="11" t="s">
        <v>66</v>
      </c>
      <c r="L9" s="11" t="s">
        <v>67</v>
      </c>
      <c r="M9" s="51"/>
      <c r="N9" s="47"/>
      <c r="O9" s="47"/>
      <c r="P9" s="47"/>
      <c r="Q9" s="49"/>
      <c r="R9" s="51"/>
      <c r="S9" s="47"/>
      <c r="T9" s="47"/>
      <c r="U9" s="47"/>
      <c r="V9" s="47"/>
      <c r="W9" s="47"/>
      <c r="X9" s="49"/>
      <c r="Y9" s="51"/>
      <c r="Z9" s="47"/>
      <c r="AA9" s="47"/>
      <c r="AB9" s="47"/>
      <c r="AC9" s="47"/>
      <c r="AD9" s="47"/>
      <c r="AE9" s="47"/>
    </row>
    <row r="10" spans="1:31" ht="15.75" x14ac:dyDescent="0.25">
      <c r="A10" s="25">
        <v>2020</v>
      </c>
      <c r="B10" s="71">
        <v>1371188.5475646199</v>
      </c>
      <c r="C10" s="71">
        <v>96114.801743739998</v>
      </c>
      <c r="D10" s="71">
        <v>1289513.5605788601</v>
      </c>
      <c r="E10" s="71">
        <v>662047.23283992009</v>
      </c>
      <c r="F10" s="71">
        <v>8219.2051720999989</v>
      </c>
      <c r="G10" s="71">
        <v>452459.11763492</v>
      </c>
      <c r="H10" s="71">
        <v>101944.15838654</v>
      </c>
      <c r="I10" s="71">
        <v>63684.121525800001</v>
      </c>
      <c r="J10" s="71">
        <v>13384.564438539999</v>
      </c>
      <c r="K10" s="71">
        <v>46175.700000000004</v>
      </c>
      <c r="L10" s="71">
        <v>32181.599999999999</v>
      </c>
      <c r="M10" s="71">
        <v>195658.73470438004</v>
      </c>
      <c r="N10" s="71">
        <v>207381.60540047998</v>
      </c>
      <c r="O10" s="71">
        <v>322692.82081957004</v>
      </c>
      <c r="P10" s="71">
        <v>221789.83055899001</v>
      </c>
      <c r="Q10" s="71">
        <v>18101.368295849999</v>
      </c>
      <c r="R10" s="71">
        <v>387642.7461931</v>
      </c>
      <c r="S10" s="71">
        <v>164888.14696769003</v>
      </c>
      <c r="T10" s="71">
        <v>34848.48083642</v>
      </c>
      <c r="U10" s="71">
        <v>6.1062039999999998E-2</v>
      </c>
      <c r="V10" s="71">
        <v>19.994015430000001</v>
      </c>
      <c r="W10" s="71">
        <v>53282.508196939998</v>
      </c>
      <c r="X10" s="71">
        <v>1151.2158190800001</v>
      </c>
      <c r="Y10" s="71">
        <v>608227.33924802998</v>
      </c>
      <c r="Z10" s="71">
        <v>877361.77273646987</v>
      </c>
      <c r="AA10" s="71">
        <v>336565.59656001005</v>
      </c>
      <c r="AB10" s="71">
        <v>155690.95413574998</v>
      </c>
      <c r="AC10" s="71">
        <v>52017.919793969995</v>
      </c>
      <c r="AD10" s="71">
        <v>1343.1030402900001</v>
      </c>
      <c r="AE10" s="71">
        <v>6216.5026234999987</v>
      </c>
    </row>
    <row r="11" spans="1:31" x14ac:dyDescent="0.25">
      <c r="A11">
        <v>2021</v>
      </c>
      <c r="B11" s="71">
        <v>2145889.9499774203</v>
      </c>
      <c r="C11" s="71">
        <v>200756.17760592999</v>
      </c>
      <c r="D11" s="71">
        <v>2276794.14292889</v>
      </c>
      <c r="E11" s="71">
        <v>1389427.63917289</v>
      </c>
      <c r="F11" s="71">
        <v>122.76597221</v>
      </c>
      <c r="G11" s="71">
        <v>829427.10954288999</v>
      </c>
      <c r="H11" s="71">
        <v>162769.99561528</v>
      </c>
      <c r="I11" s="71">
        <v>127239.83124330999</v>
      </c>
      <c r="J11" s="71">
        <v>20873.555747779999</v>
      </c>
      <c r="K11" s="71">
        <v>63400</v>
      </c>
      <c r="L11" s="71">
        <v>72950</v>
      </c>
      <c r="M11" s="71">
        <v>379234.94940976996</v>
      </c>
      <c r="N11" s="71">
        <v>284311.64054739004</v>
      </c>
      <c r="O11" s="71">
        <v>128334.57185648997</v>
      </c>
      <c r="P11" s="71">
        <v>34944.75221033</v>
      </c>
      <c r="Q11" s="71">
        <v>35885.449105700005</v>
      </c>
      <c r="R11" s="71">
        <v>1031225.38874289</v>
      </c>
      <c r="S11" s="71">
        <v>340037.76294181007</v>
      </c>
      <c r="T11" s="71">
        <v>71853.268268669985</v>
      </c>
      <c r="U11" s="71">
        <v>1.380786E-2</v>
      </c>
      <c r="V11" s="71">
        <v>22.626695780000006</v>
      </c>
      <c r="W11" s="71">
        <v>111605.31967756001</v>
      </c>
      <c r="X11" s="71">
        <v>2876.7331556400004</v>
      </c>
      <c r="Y11" s="71">
        <v>1056709.9892969402</v>
      </c>
      <c r="Z11" s="71">
        <v>1561166.2536756399</v>
      </c>
      <c r="AA11" s="71">
        <v>568707.97224974004</v>
      </c>
      <c r="AB11" s="71">
        <v>256027.10396457999</v>
      </c>
      <c r="AC11" s="71">
        <v>73437.031259759999</v>
      </c>
      <c r="AD11" s="71">
        <v>1978.29141473</v>
      </c>
      <c r="AE11" s="71">
        <v>-1025.8632619199939</v>
      </c>
    </row>
    <row r="12" spans="1:31" x14ac:dyDescent="0.25">
      <c r="A12">
        <v>2022</v>
      </c>
      <c r="B12" s="71">
        <v>4350885.5022465894</v>
      </c>
      <c r="C12" s="71">
        <v>364531.88940312999</v>
      </c>
      <c r="D12" s="71">
        <v>3719675.8012463101</v>
      </c>
      <c r="E12" s="71">
        <v>2205363.80385431</v>
      </c>
      <c r="F12" s="71">
        <v>565.25981530000013</v>
      </c>
      <c r="G12" s="71">
        <v>1343373.6252769001</v>
      </c>
      <c r="H12" s="71">
        <v>216129.16249352001</v>
      </c>
      <c r="I12" s="71">
        <v>213562.96993180999</v>
      </c>
      <c r="J12" s="71">
        <v>27378.918476480001</v>
      </c>
      <c r="K12" s="71">
        <v>93710</v>
      </c>
      <c r="L12" s="71">
        <v>109970</v>
      </c>
      <c r="M12" s="71">
        <v>431486.66074268997</v>
      </c>
      <c r="N12" s="71">
        <v>421968.57995697996</v>
      </c>
      <c r="O12" s="71">
        <v>346907.95588173007</v>
      </c>
      <c r="P12" s="71">
        <v>39720.712025469998</v>
      </c>
      <c r="Q12" s="71">
        <v>54813.564033089999</v>
      </c>
      <c r="R12" s="71">
        <v>1649417.56880538</v>
      </c>
      <c r="S12" s="71">
        <v>531892.47698400996</v>
      </c>
      <c r="T12" s="71">
        <v>107237.77447282999</v>
      </c>
      <c r="U12" s="71">
        <v>1.2951142600000003</v>
      </c>
      <c r="V12" s="71">
        <v>66.566290359999996</v>
      </c>
      <c r="W12" s="71">
        <v>162664.09459756</v>
      </c>
      <c r="X12" s="71">
        <v>5482.1556343500006</v>
      </c>
      <c r="Y12" s="71">
        <v>1653850.7824169602</v>
      </c>
      <c r="Z12" s="71">
        <v>2506488.1255100402</v>
      </c>
      <c r="AA12" s="71">
        <v>877070.94706323987</v>
      </c>
      <c r="AB12" s="71">
        <v>391043.44060161</v>
      </c>
      <c r="AC12" s="71">
        <v>104007.35828845001</v>
      </c>
      <c r="AD12" s="71">
        <v>2911.4611542700004</v>
      </c>
      <c r="AE12" s="71">
        <v>15807.797044530063</v>
      </c>
    </row>
    <row r="13" spans="1:31" x14ac:dyDescent="0.25">
      <c r="A13">
        <v>2023</v>
      </c>
      <c r="B13" s="71">
        <f>SUM('20-24'!B46:B57)</f>
        <v>7944152.0876754802</v>
      </c>
      <c r="C13" s="71">
        <f>SUM('20-24'!C46:C57)</f>
        <v>838507.35951929004</v>
      </c>
      <c r="D13" s="71">
        <f>SUM('20-24'!D46:D57)</f>
        <v>9637645.6878543515</v>
      </c>
      <c r="E13" s="71">
        <f>SUM('20-24'!E46:E57)</f>
        <v>5349664.6256035604</v>
      </c>
      <c r="F13" s="71">
        <f>SUM('20-24'!F46:F57)</f>
        <v>1079.2259231099999</v>
      </c>
      <c r="G13" s="71">
        <f>SUM('20-24'!G46:G57)</f>
        <v>3146166.1250167405</v>
      </c>
      <c r="H13" s="71">
        <f>SUM('20-24'!H46:H57)</f>
        <v>449855.22085952997</v>
      </c>
      <c r="I13" s="71">
        <f>SUM('20-24'!I46:I57)</f>
        <v>565469.28754722991</v>
      </c>
      <c r="J13" s="71">
        <f>SUM('20-24'!J46:J57)</f>
        <v>56279.15913765</v>
      </c>
      <c r="K13" s="71">
        <f>SUM('20-24'!K46:K57)</f>
        <v>195800</v>
      </c>
      <c r="L13" s="71">
        <f>SUM('20-24'!L46:L57)</f>
        <v>233950</v>
      </c>
      <c r="M13" s="71">
        <f>SUM('20-24'!M46:M57)</f>
        <v>526431.68187036004</v>
      </c>
      <c r="N13" s="71">
        <f>SUM('20-24'!N46:N57)</f>
        <v>987942.47990514</v>
      </c>
      <c r="O13" s="71">
        <f>SUM('20-24'!O46:O57)</f>
        <v>1510888.6277356399</v>
      </c>
      <c r="P13" s="71">
        <f>SUM('20-24'!P46:P57)</f>
        <v>68790.899285589985</v>
      </c>
      <c r="Q13" s="71">
        <f>SUM('20-24'!Q46:Q57)</f>
        <v>118351.07395614</v>
      </c>
      <c r="R13" s="71">
        <f>SUM('20-24'!R46:R57)</f>
        <v>1544728.6673860301</v>
      </c>
      <c r="S13" s="71">
        <f>SUM('20-24'!S46:S57)</f>
        <v>1131875.9116902701</v>
      </c>
      <c r="T13" s="71">
        <f>SUM('20-24'!T46:T57)</f>
        <v>211861.11174125003</v>
      </c>
      <c r="U13" s="71">
        <f>SUM('20-24'!U46:U57)</f>
        <v>2.5789389999999995E-2</v>
      </c>
      <c r="V13" s="71">
        <f>SUM('20-24'!V46:V57)</f>
        <v>39.358689700000006</v>
      </c>
      <c r="W13" s="71">
        <f>SUM('20-24'!W46:W57)</f>
        <v>301404.88947707997</v>
      </c>
      <c r="X13" s="71">
        <f>SUM('20-24'!X46:X57)</f>
        <v>19400.815472810002</v>
      </c>
      <c r="Y13" s="71">
        <f>SUM('20-24'!Y46:Y57)</f>
        <v>5170906.9407824604</v>
      </c>
      <c r="Z13" s="71">
        <f>SUM('20-24'!Z46:Z57)</f>
        <v>4181912.39012213</v>
      </c>
      <c r="AA13" s="71">
        <f>SUM('20-24'!AA46:AA57)</f>
        <v>1980749.5167678997</v>
      </c>
      <c r="AB13" s="71">
        <f>SUM('20-24'!AB46:AB57)</f>
        <v>887411.27883823996</v>
      </c>
      <c r="AC13" s="71">
        <f>SUM('20-24'!AC46:AC57)</f>
        <v>211945.17334394003</v>
      </c>
      <c r="AD13" s="71">
        <f>SUM('20-24'!AD46:AD57)</f>
        <v>5748.0599074100001</v>
      </c>
      <c r="AE13" s="71">
        <f>SUM('20-24'!AE46:AE54)</f>
        <v>27941.254791840063</v>
      </c>
    </row>
    <row r="14" spans="1:31" ht="15.75" x14ac:dyDescent="0.25">
      <c r="A14">
        <v>2024</v>
      </c>
      <c r="B14" s="70">
        <f>SUM('20-24'!B58:B69)</f>
        <v>822442.50574255025</v>
      </c>
      <c r="C14" s="70">
        <f>SUM('20-24'!C58:C69)</f>
        <v>199460.24454868</v>
      </c>
      <c r="D14" s="70">
        <f>SUM('20-24'!D58:D69)</f>
        <v>1604347.6970647702</v>
      </c>
      <c r="E14" s="70">
        <f>SUM('20-24'!E58:E69)</f>
        <v>1271449.5610116802</v>
      </c>
      <c r="F14" s="70">
        <f>SUM('20-24'!F58:F69)</f>
        <v>0</v>
      </c>
      <c r="G14" s="70">
        <f>SUM('20-24'!G58:G69)</f>
        <v>463278.38607327</v>
      </c>
      <c r="H14" s="70">
        <f>SUM('20-24'!H58:H69)</f>
        <v>76742.201765070015</v>
      </c>
      <c r="I14" s="70">
        <f>SUM('20-24'!I58:I69)</f>
        <v>94787.874245219995</v>
      </c>
      <c r="J14" s="70">
        <f>SUM('20-24'!J58:J69)</f>
        <v>9678.9743458899993</v>
      </c>
      <c r="K14" s="70">
        <f>SUM('20-24'!K58:K69)</f>
        <v>25000</v>
      </c>
      <c r="L14" s="70">
        <f>SUM('20-24'!L58:L69)</f>
        <v>30000</v>
      </c>
      <c r="M14" s="70">
        <f>SUM('20-24'!M58:M69)</f>
        <v>46121.275450749992</v>
      </c>
      <c r="N14" s="70">
        <f>SUM('20-24'!N58:N69)</f>
        <v>32552.081508910007</v>
      </c>
      <c r="O14" s="70">
        <f>SUM('20-24'!O58:O69)</f>
        <v>983082.81523353001</v>
      </c>
      <c r="P14" s="70">
        <f>SUM('20-24'!P58:P69)</f>
        <v>26807.535702170004</v>
      </c>
      <c r="Q14" s="70">
        <f>SUM('20-24'!Q58:Q69)</f>
        <v>17324.001481960004</v>
      </c>
      <c r="R14" s="70">
        <f>SUM('20-24'!R58:R69)</f>
        <v>645168.01848032011</v>
      </c>
      <c r="S14" s="70">
        <f>SUM('20-24'!S58:S69)</f>
        <v>274537.92983271001</v>
      </c>
      <c r="T14" s="70">
        <f>SUM('20-24'!T58:T69)</f>
        <v>50133.37233505999</v>
      </c>
      <c r="U14" s="70">
        <f>SUM('20-24'!U58:U69)</f>
        <v>0</v>
      </c>
      <c r="V14" s="70">
        <f>SUM('20-24'!V58:V69)</f>
        <v>1.11431474</v>
      </c>
      <c r="W14" s="70">
        <f>SUM('20-24'!W58:W69)</f>
        <v>67970.002589819997</v>
      </c>
      <c r="X14" s="70">
        <f>SUM('20-24'!X58:X69)</f>
        <v>4679.1061483699996</v>
      </c>
      <c r="Y14" s="70">
        <f>SUM('20-24'!Y58:Y69)</f>
        <v>1033238.2054581899</v>
      </c>
      <c r="Z14" s="70">
        <f>SUM('20-24'!Z58:Z69)</f>
        <v>637396.44078919012</v>
      </c>
      <c r="AA14" s="70">
        <f>SUM('20-24'!AA58:AA69)</f>
        <v>392097.14966731</v>
      </c>
      <c r="AB14" s="70">
        <f>SUM('20-24'!AB58:AB69)</f>
        <v>174005.29267455995</v>
      </c>
      <c r="AC14" s="70">
        <f>SUM('20-24'!AC58:AC69)</f>
        <v>27615.1458188</v>
      </c>
      <c r="AD14" s="70">
        <f>SUM('20-24'!AD58:AD69)</f>
        <v>580.07016159000011</v>
      </c>
      <c r="AE14" s="70">
        <f>SUM('20-24'!AE58:AE69)</f>
        <v>3736.375900010004</v>
      </c>
    </row>
  </sheetData>
  <mergeCells count="31">
    <mergeCell ref="U8:U9"/>
    <mergeCell ref="AC8:AC9"/>
    <mergeCell ref="AD8:AD9"/>
    <mergeCell ref="AE8:AE9"/>
    <mergeCell ref="W8:W9"/>
    <mergeCell ref="X8:X9"/>
    <mergeCell ref="Y8:Y9"/>
    <mergeCell ref="Z8:Z9"/>
    <mergeCell ref="AA8:AA9"/>
    <mergeCell ref="AB8:AB9"/>
    <mergeCell ref="P8:P9"/>
    <mergeCell ref="Q8:Q9"/>
    <mergeCell ref="R8:R9"/>
    <mergeCell ref="S8:S9"/>
    <mergeCell ref="T8:T9"/>
    <mergeCell ref="A6:A9"/>
    <mergeCell ref="B6:AE6"/>
    <mergeCell ref="B7:Q7"/>
    <mergeCell ref="R7:X7"/>
    <mergeCell ref="Y7:AE7"/>
    <mergeCell ref="B8:C8"/>
    <mergeCell ref="D8:E8"/>
    <mergeCell ref="F8:F9"/>
    <mergeCell ref="G8:G9"/>
    <mergeCell ref="H8:I8"/>
    <mergeCell ref="V8:V9"/>
    <mergeCell ref="J8:J9"/>
    <mergeCell ref="K8:L8"/>
    <mergeCell ref="M8:M9"/>
    <mergeCell ref="N8:N9"/>
    <mergeCell ref="O8:O9"/>
  </mergeCells>
  <hyperlinks>
    <hyperlink ref="B4" r:id="rId1" xr:uid="{9C9A2415-969C-4A58-9516-F432B29B07BF}"/>
    <hyperlink ref="E4" location="INDICE!A1" display="Volver al indice" xr:uid="{395E9191-505C-4A64-A550-D56D477D56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66590-5014-42DB-8FF8-CC35B879FD30}">
  <dimension ref="A1:AE310"/>
  <sheetViews>
    <sheetView workbookViewId="0">
      <pane xSplit="1" ySplit="9" topLeftCell="B10" activePane="bottomRight" state="frozen"/>
      <selection pane="topRight" activeCell="B1" sqref="B1"/>
      <selection pane="bottomLeft" activeCell="A8" sqref="A8"/>
      <selection pane="bottomRight" activeCell="E4" sqref="E4"/>
    </sheetView>
  </sheetViews>
  <sheetFormatPr baseColWidth="10" defaultColWidth="11.42578125" defaultRowHeight="15" x14ac:dyDescent="0.25"/>
  <sheetData>
    <row r="1" spans="1:31" ht="23.25" x14ac:dyDescent="0.35">
      <c r="A1" s="17" t="s">
        <v>25</v>
      </c>
    </row>
    <row r="2" spans="1:31" ht="21" x14ac:dyDescent="0.35">
      <c r="A2" s="18" t="s">
        <v>26</v>
      </c>
    </row>
    <row r="3" spans="1:31" x14ac:dyDescent="0.25">
      <c r="A3" t="s">
        <v>27</v>
      </c>
    </row>
    <row r="4" spans="1:31" x14ac:dyDescent="0.25">
      <c r="A4" t="s">
        <v>28</v>
      </c>
      <c r="B4" s="35" t="s">
        <v>29</v>
      </c>
      <c r="E4" s="35" t="s">
        <v>30</v>
      </c>
    </row>
    <row r="5" spans="1:31" x14ac:dyDescent="0.25">
      <c r="B5" s="35"/>
    </row>
    <row r="6" spans="1:31" ht="15.75" x14ac:dyDescent="0.25">
      <c r="A6" s="52" t="s">
        <v>31</v>
      </c>
      <c r="B6" s="53" t="s">
        <v>32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4"/>
      <c r="AA6" s="54"/>
      <c r="AB6" s="54"/>
      <c r="AC6" s="54"/>
      <c r="AD6" s="29"/>
      <c r="AE6" s="29"/>
    </row>
    <row r="7" spans="1:31" ht="15.75" x14ac:dyDescent="0.25">
      <c r="A7" s="52"/>
      <c r="B7" s="56" t="s">
        <v>33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7"/>
      <c r="S7" s="55" t="s">
        <v>34</v>
      </c>
      <c r="T7" s="56"/>
      <c r="U7" s="56"/>
      <c r="V7" s="56"/>
      <c r="W7" s="56"/>
      <c r="X7" s="56"/>
      <c r="Y7" s="57"/>
      <c r="Z7" s="58" t="s">
        <v>35</v>
      </c>
      <c r="AA7" s="59"/>
      <c r="AB7" s="59"/>
      <c r="AC7" s="59"/>
      <c r="AD7" s="59"/>
      <c r="AE7" s="59"/>
    </row>
    <row r="8" spans="1:31" ht="15.75" x14ac:dyDescent="0.25">
      <c r="A8" s="52"/>
      <c r="B8" s="56" t="s">
        <v>36</v>
      </c>
      <c r="C8" s="57"/>
      <c r="D8" s="56" t="s">
        <v>37</v>
      </c>
      <c r="E8" s="56"/>
      <c r="F8" s="47" t="s">
        <v>38</v>
      </c>
      <c r="G8" s="47" t="s">
        <v>39</v>
      </c>
      <c r="H8" s="60" t="s">
        <v>40</v>
      </c>
      <c r="I8" s="60"/>
      <c r="J8" s="46" t="s">
        <v>41</v>
      </c>
      <c r="K8" s="60" t="s">
        <v>42</v>
      </c>
      <c r="L8" s="60"/>
      <c r="M8" s="61"/>
      <c r="N8" s="50" t="s">
        <v>43</v>
      </c>
      <c r="O8" s="46" t="s">
        <v>44</v>
      </c>
      <c r="P8" s="46" t="s">
        <v>45</v>
      </c>
      <c r="Q8" s="46" t="s">
        <v>46</v>
      </c>
      <c r="R8" s="48" t="s">
        <v>47</v>
      </c>
      <c r="S8" s="50" t="s">
        <v>48</v>
      </c>
      <c r="T8" s="46" t="s">
        <v>49</v>
      </c>
      <c r="U8" s="46" t="s">
        <v>50</v>
      </c>
      <c r="V8" s="46" t="s">
        <v>51</v>
      </c>
      <c r="W8" s="46" t="s">
        <v>52</v>
      </c>
      <c r="X8" s="46" t="s">
        <v>53</v>
      </c>
      <c r="Y8" s="48" t="s">
        <v>54</v>
      </c>
      <c r="Z8" s="50" t="s">
        <v>55</v>
      </c>
      <c r="AA8" s="46" t="s">
        <v>56</v>
      </c>
      <c r="AB8" s="46" t="s">
        <v>57</v>
      </c>
      <c r="AC8" s="46" t="s">
        <v>58</v>
      </c>
      <c r="AD8" s="46" t="s">
        <v>59</v>
      </c>
      <c r="AE8" s="46" t="s">
        <v>60</v>
      </c>
    </row>
    <row r="9" spans="1:31" ht="78.75" x14ac:dyDescent="0.25">
      <c r="A9" s="52"/>
      <c r="B9" s="11" t="s">
        <v>61</v>
      </c>
      <c r="C9" s="12" t="s">
        <v>62</v>
      </c>
      <c r="D9" s="11" t="s">
        <v>63</v>
      </c>
      <c r="E9" s="11" t="s">
        <v>64</v>
      </c>
      <c r="F9" s="47"/>
      <c r="G9" s="47"/>
      <c r="H9" s="11" t="s">
        <v>65</v>
      </c>
      <c r="I9" s="11" t="s">
        <v>54</v>
      </c>
      <c r="J9" s="47"/>
      <c r="K9" s="11" t="s">
        <v>66</v>
      </c>
      <c r="L9" s="11" t="s">
        <v>67</v>
      </c>
      <c r="M9" s="12" t="s">
        <v>68</v>
      </c>
      <c r="N9" s="51"/>
      <c r="O9" s="47"/>
      <c r="P9" s="47"/>
      <c r="Q9" s="47"/>
      <c r="R9" s="49"/>
      <c r="S9" s="51"/>
      <c r="T9" s="47"/>
      <c r="U9" s="47"/>
      <c r="V9" s="47"/>
      <c r="W9" s="47"/>
      <c r="X9" s="47"/>
      <c r="Y9" s="49"/>
      <c r="Z9" s="51"/>
      <c r="AA9" s="47"/>
      <c r="AB9" s="47"/>
      <c r="AC9" s="47"/>
      <c r="AD9" s="47"/>
      <c r="AE9" s="47"/>
    </row>
    <row r="10" spans="1:31" ht="15.75" x14ac:dyDescent="0.25">
      <c r="A10" s="28">
        <v>35065</v>
      </c>
      <c r="B10" s="2">
        <v>500</v>
      </c>
      <c r="C10" s="2">
        <v>27.245999999999999</v>
      </c>
      <c r="D10" s="2">
        <v>1247.963</v>
      </c>
      <c r="E10" s="2">
        <v>433.84100000000001</v>
      </c>
      <c r="F10" s="1" t="s">
        <v>69</v>
      </c>
      <c r="G10" s="1" t="s">
        <v>69</v>
      </c>
      <c r="H10" s="2">
        <v>89.804000000000002</v>
      </c>
      <c r="I10" s="2">
        <v>78.727000000000004</v>
      </c>
      <c r="J10" s="2">
        <v>0</v>
      </c>
      <c r="K10" s="2">
        <v>98.775999999999996</v>
      </c>
      <c r="L10" s="2">
        <v>69.947000000000003</v>
      </c>
      <c r="M10" s="2">
        <v>9.1029999999999998</v>
      </c>
      <c r="N10" s="4">
        <v>137.34100000000001</v>
      </c>
      <c r="O10" s="2">
        <v>10.906000000000001</v>
      </c>
      <c r="P10" s="2" t="s">
        <v>69</v>
      </c>
      <c r="Q10" s="2" t="s">
        <v>69</v>
      </c>
      <c r="R10" s="2">
        <v>156.44499999999999</v>
      </c>
      <c r="S10" s="2">
        <v>0.92800000000000005</v>
      </c>
      <c r="T10" s="2">
        <v>142.72900000000001</v>
      </c>
      <c r="U10" s="2">
        <v>23.353000000000002</v>
      </c>
      <c r="V10" s="2" t="s">
        <v>69</v>
      </c>
      <c r="W10" s="2">
        <v>0.125</v>
      </c>
      <c r="X10" s="2" t="s">
        <v>69</v>
      </c>
      <c r="Y10" s="2">
        <v>3.605</v>
      </c>
      <c r="Z10" s="2">
        <v>1425</v>
      </c>
      <c r="AA10" s="2">
        <v>269.59500000000003</v>
      </c>
      <c r="AB10" s="2">
        <v>0</v>
      </c>
      <c r="AC10" s="2" t="s">
        <v>69</v>
      </c>
      <c r="AD10" s="2" t="s">
        <v>69</v>
      </c>
      <c r="AE10" s="2">
        <v>82.233000000000004</v>
      </c>
    </row>
    <row r="11" spans="1:31" ht="15.75" x14ac:dyDescent="0.25">
      <c r="A11" s="28">
        <v>35096</v>
      </c>
      <c r="B11" s="2">
        <v>553.13800000000003</v>
      </c>
      <c r="C11" s="2">
        <v>25.059000000000001</v>
      </c>
      <c r="D11" s="2">
        <v>1219.9079999999999</v>
      </c>
      <c r="E11" s="2">
        <v>414.97800000000001</v>
      </c>
      <c r="F11" s="1" t="s">
        <v>69</v>
      </c>
      <c r="G11" s="3" t="s">
        <v>69</v>
      </c>
      <c r="H11" s="2">
        <v>150.33699999999999</v>
      </c>
      <c r="I11" s="2">
        <v>70.419000000000011</v>
      </c>
      <c r="J11" s="2">
        <v>8.4329999999999998</v>
      </c>
      <c r="K11" s="2">
        <v>90.858000000000004</v>
      </c>
      <c r="L11" s="2">
        <v>55.67</v>
      </c>
      <c r="M11" s="2">
        <v>10.895</v>
      </c>
      <c r="N11" s="4">
        <v>180.19300000000001</v>
      </c>
      <c r="O11" s="2">
        <v>6.92</v>
      </c>
      <c r="P11" s="2" t="s">
        <v>69</v>
      </c>
      <c r="Q11" s="2" t="s">
        <v>69</v>
      </c>
      <c r="R11" s="2">
        <v>-48.524999999999999</v>
      </c>
      <c r="S11" s="2">
        <v>0.84599999999999997</v>
      </c>
      <c r="T11" s="2">
        <v>115.59099999999999</v>
      </c>
      <c r="U11" s="2">
        <v>20.245999999999999</v>
      </c>
      <c r="V11" s="2" t="s">
        <v>69</v>
      </c>
      <c r="W11" s="2">
        <v>0.11899999999999999</v>
      </c>
      <c r="X11" s="2" t="s">
        <v>69</v>
      </c>
      <c r="Y11" s="2">
        <v>3.2800000000000002</v>
      </c>
      <c r="Z11" s="2">
        <v>921.7</v>
      </c>
      <c r="AA11" s="2">
        <v>196.08699999999999</v>
      </c>
      <c r="AB11" s="2">
        <v>0</v>
      </c>
      <c r="AC11" s="2" t="s">
        <v>69</v>
      </c>
      <c r="AD11" s="2" t="s">
        <v>69</v>
      </c>
      <c r="AE11" s="2">
        <v>72.138000000000005</v>
      </c>
    </row>
    <row r="12" spans="1:31" ht="15.75" x14ac:dyDescent="0.25">
      <c r="A12" s="28">
        <v>35125</v>
      </c>
      <c r="B12" s="2">
        <v>457.012</v>
      </c>
      <c r="C12" s="2">
        <v>28.747</v>
      </c>
      <c r="D12" s="2">
        <v>1238.201</v>
      </c>
      <c r="E12" s="2">
        <v>466.97500000000002</v>
      </c>
      <c r="F12" s="1" t="s">
        <v>69</v>
      </c>
      <c r="G12" s="1" t="s">
        <v>69</v>
      </c>
      <c r="H12" s="2">
        <v>106.80500000000001</v>
      </c>
      <c r="I12" s="2">
        <v>74.194000000000003</v>
      </c>
      <c r="J12" s="2">
        <v>11.945</v>
      </c>
      <c r="K12" s="2">
        <v>118.90300000000001</v>
      </c>
      <c r="L12" s="2">
        <v>49.503999999999998</v>
      </c>
      <c r="M12" s="2">
        <v>12.05</v>
      </c>
      <c r="N12" s="4">
        <v>115.78700000000001</v>
      </c>
      <c r="O12" s="2">
        <v>5.0250000000000004</v>
      </c>
      <c r="P12" s="2" t="s">
        <v>69</v>
      </c>
      <c r="Q12" s="2" t="s">
        <v>69</v>
      </c>
      <c r="R12" s="2">
        <v>49.469000000000001</v>
      </c>
      <c r="S12" s="2">
        <v>2.9889999999999999</v>
      </c>
      <c r="T12" s="2">
        <v>140.94499999999999</v>
      </c>
      <c r="U12" s="2">
        <v>24.988</v>
      </c>
      <c r="V12" s="2" t="s">
        <v>69</v>
      </c>
      <c r="W12" s="2">
        <v>0.23100000000000001</v>
      </c>
      <c r="X12" s="2" t="s">
        <v>69</v>
      </c>
      <c r="Y12" s="2">
        <v>3.7849999999999997</v>
      </c>
      <c r="Z12" s="2">
        <v>858.9</v>
      </c>
      <c r="AA12" s="2">
        <v>186.00399999999999</v>
      </c>
      <c r="AB12" s="2">
        <v>0</v>
      </c>
      <c r="AC12" s="2" t="s">
        <v>69</v>
      </c>
      <c r="AD12" s="2" t="s">
        <v>69</v>
      </c>
      <c r="AE12" s="2">
        <v>63.332999999999998</v>
      </c>
    </row>
    <row r="13" spans="1:31" ht="15.75" x14ac:dyDescent="0.25">
      <c r="A13" s="28">
        <v>35156</v>
      </c>
      <c r="B13" s="2">
        <v>447.06099999999998</v>
      </c>
      <c r="C13" s="2">
        <v>29.291</v>
      </c>
      <c r="D13" s="2">
        <v>1108.2919999999999</v>
      </c>
      <c r="E13" s="2">
        <v>465.48599999999999</v>
      </c>
      <c r="F13" s="3" t="s">
        <v>69</v>
      </c>
      <c r="G13" s="1" t="s">
        <v>69</v>
      </c>
      <c r="H13" s="2">
        <v>115.774</v>
      </c>
      <c r="I13" s="2">
        <v>74.736000000000004</v>
      </c>
      <c r="J13" s="2">
        <v>19.489999999999998</v>
      </c>
      <c r="K13" s="2">
        <v>86.825999999999993</v>
      </c>
      <c r="L13" s="5">
        <v>38.792999999999999</v>
      </c>
      <c r="M13" s="5">
        <v>9.0619999999999994</v>
      </c>
      <c r="N13" s="5">
        <v>175.358</v>
      </c>
      <c r="O13" s="5">
        <v>4.8090000000000002</v>
      </c>
      <c r="P13" s="5" t="s">
        <v>69</v>
      </c>
      <c r="Q13" s="5" t="s">
        <v>69</v>
      </c>
      <c r="R13" s="5">
        <v>70.251000000000005</v>
      </c>
      <c r="S13" s="5">
        <v>4.91</v>
      </c>
      <c r="T13" s="5">
        <v>139.279</v>
      </c>
      <c r="U13" s="5">
        <v>24.477</v>
      </c>
      <c r="V13" s="5" t="s">
        <v>69</v>
      </c>
      <c r="W13" s="5">
        <v>0.54800000000000004</v>
      </c>
      <c r="X13" s="5" t="s">
        <v>69</v>
      </c>
      <c r="Y13" s="5">
        <v>4.4360000000000008</v>
      </c>
      <c r="Z13" s="5">
        <v>907.4</v>
      </c>
      <c r="AA13" s="5">
        <v>189.565</v>
      </c>
      <c r="AB13" s="2">
        <v>0</v>
      </c>
      <c r="AC13" s="2" t="s">
        <v>69</v>
      </c>
      <c r="AD13" s="2" t="s">
        <v>69</v>
      </c>
      <c r="AE13" s="5">
        <v>60.253999999999998</v>
      </c>
    </row>
    <row r="14" spans="1:31" ht="15.75" x14ac:dyDescent="0.25">
      <c r="A14" s="28">
        <v>35186</v>
      </c>
      <c r="B14" s="2">
        <v>657.38300000000004</v>
      </c>
      <c r="C14" s="2">
        <v>32.365000000000002</v>
      </c>
      <c r="D14" s="2">
        <v>1179.7660000000001</v>
      </c>
      <c r="E14" s="2">
        <v>505.30500000000001</v>
      </c>
      <c r="F14" s="1" t="s">
        <v>69</v>
      </c>
      <c r="G14" s="1" t="s">
        <v>69</v>
      </c>
      <c r="H14" s="2">
        <v>105.39700000000001</v>
      </c>
      <c r="I14" s="2">
        <v>54.994</v>
      </c>
      <c r="J14" s="2">
        <v>15.465999999999999</v>
      </c>
      <c r="K14" s="2">
        <v>83.453000000000003</v>
      </c>
      <c r="L14" s="2">
        <v>59.378999999999998</v>
      </c>
      <c r="M14" s="2">
        <v>11.426</v>
      </c>
      <c r="N14" s="4">
        <v>173.767</v>
      </c>
      <c r="O14" s="2">
        <v>4.9009999999999998</v>
      </c>
      <c r="P14" s="2" t="s">
        <v>69</v>
      </c>
      <c r="Q14" s="2" t="s">
        <v>69</v>
      </c>
      <c r="R14" s="2">
        <v>51.095999999999997</v>
      </c>
      <c r="S14" s="2">
        <v>6.9240000000000004</v>
      </c>
      <c r="T14" s="2">
        <v>151.99799999999999</v>
      </c>
      <c r="U14" s="2">
        <v>27.151</v>
      </c>
      <c r="V14" s="2" t="s">
        <v>69</v>
      </c>
      <c r="W14" s="2">
        <v>0.72</v>
      </c>
      <c r="X14" s="2" t="s">
        <v>69</v>
      </c>
      <c r="Y14" s="2">
        <v>3.8170000000000002</v>
      </c>
      <c r="Z14" s="2">
        <v>942.2</v>
      </c>
      <c r="AA14" s="2">
        <v>188.155</v>
      </c>
      <c r="AB14" s="2">
        <v>0</v>
      </c>
      <c r="AC14" s="2" t="s">
        <v>69</v>
      </c>
      <c r="AD14" s="2" t="s">
        <v>69</v>
      </c>
      <c r="AE14" s="2">
        <v>61.213999999999999</v>
      </c>
    </row>
    <row r="15" spans="1:31" ht="15.75" x14ac:dyDescent="0.25">
      <c r="A15" s="28">
        <v>35217</v>
      </c>
      <c r="B15" s="2">
        <v>706.08699999999999</v>
      </c>
      <c r="C15" s="2">
        <v>30.609000000000002</v>
      </c>
      <c r="D15" s="2">
        <v>1117.9690000000001</v>
      </c>
      <c r="E15" s="2">
        <v>484.56799999999998</v>
      </c>
      <c r="F15" s="1" t="s">
        <v>69</v>
      </c>
      <c r="G15" s="1" t="s">
        <v>69</v>
      </c>
      <c r="H15" s="2">
        <v>106.242</v>
      </c>
      <c r="I15" s="2">
        <v>45.739000000000004</v>
      </c>
      <c r="J15" s="2">
        <v>12.948</v>
      </c>
      <c r="K15" s="2">
        <v>110.13800000000001</v>
      </c>
      <c r="L15" s="2">
        <v>47.948999999999998</v>
      </c>
      <c r="M15" s="2">
        <v>9.0129999999999999</v>
      </c>
      <c r="N15" s="4">
        <v>165.02500000000001</v>
      </c>
      <c r="O15" s="2">
        <v>174.392</v>
      </c>
      <c r="P15" s="2" t="s">
        <v>69</v>
      </c>
      <c r="Q15" s="2" t="s">
        <v>69</v>
      </c>
      <c r="R15" s="2">
        <v>55.73</v>
      </c>
      <c r="S15" s="2">
        <v>4.2510000000000003</v>
      </c>
      <c r="T15" s="2">
        <v>145.935</v>
      </c>
      <c r="U15" s="2">
        <v>26.39</v>
      </c>
      <c r="V15" s="2" t="s">
        <v>69</v>
      </c>
      <c r="W15" s="2">
        <v>0.39500000000000002</v>
      </c>
      <c r="X15" s="2" t="s">
        <v>69</v>
      </c>
      <c r="Y15" s="2">
        <v>4.2910000000000004</v>
      </c>
      <c r="Z15" s="2">
        <v>966.7</v>
      </c>
      <c r="AA15" s="2">
        <v>184.54400000000001</v>
      </c>
      <c r="AB15" s="2">
        <v>0</v>
      </c>
      <c r="AC15" s="2" t="s">
        <v>69</v>
      </c>
      <c r="AD15" s="2" t="s">
        <v>69</v>
      </c>
      <c r="AE15" s="2">
        <v>53.481000000000002</v>
      </c>
    </row>
    <row r="16" spans="1:31" ht="15.75" x14ac:dyDescent="0.25">
      <c r="A16" s="28">
        <v>35247</v>
      </c>
      <c r="B16" s="2">
        <v>520.06500000000005</v>
      </c>
      <c r="C16" s="2">
        <v>37.792000000000002</v>
      </c>
      <c r="D16" s="2">
        <v>1130.076</v>
      </c>
      <c r="E16" s="2">
        <v>570.11400000000003</v>
      </c>
      <c r="F16" s="1" t="s">
        <v>69</v>
      </c>
      <c r="G16" s="1" t="s">
        <v>69</v>
      </c>
      <c r="H16" s="2">
        <v>106.95099999999999</v>
      </c>
      <c r="I16" s="2">
        <v>33.716999999999999</v>
      </c>
      <c r="J16" s="2">
        <v>18.670999999999999</v>
      </c>
      <c r="K16" s="2">
        <v>68.397000000000006</v>
      </c>
      <c r="L16" s="2">
        <v>50.091999999999999</v>
      </c>
      <c r="M16" s="2">
        <v>11.682</v>
      </c>
      <c r="N16" s="4">
        <v>135.66</v>
      </c>
      <c r="O16" s="2">
        <v>52.256999999999998</v>
      </c>
      <c r="P16" s="2" t="s">
        <v>69</v>
      </c>
      <c r="Q16" s="2" t="s">
        <v>69</v>
      </c>
      <c r="R16" s="2">
        <v>69.501999999999995</v>
      </c>
      <c r="S16" s="2">
        <v>3.4129999999999998</v>
      </c>
      <c r="T16" s="2">
        <v>166.23</v>
      </c>
      <c r="U16" s="2">
        <v>32.021999999999998</v>
      </c>
      <c r="V16" s="2" t="s">
        <v>69</v>
      </c>
      <c r="W16" s="2">
        <v>0.46100000000000002</v>
      </c>
      <c r="X16" s="2" t="s">
        <v>69</v>
      </c>
      <c r="Y16" s="2">
        <v>4.17</v>
      </c>
      <c r="Z16" s="2">
        <v>1399.7</v>
      </c>
      <c r="AA16" s="2">
        <v>273.13499999999999</v>
      </c>
      <c r="AB16" s="2">
        <v>42.033999999999999</v>
      </c>
      <c r="AC16" s="2" t="s">
        <v>69</v>
      </c>
      <c r="AD16" s="2" t="s">
        <v>69</v>
      </c>
      <c r="AE16" s="2">
        <v>51.277999999999999</v>
      </c>
    </row>
    <row r="17" spans="1:31" ht="15.75" x14ac:dyDescent="0.25">
      <c r="A17" s="28">
        <v>35278</v>
      </c>
      <c r="B17" s="2">
        <v>471.93799999999999</v>
      </c>
      <c r="C17" s="2">
        <v>41.466999999999999</v>
      </c>
      <c r="D17" s="2">
        <v>1168.7940000000001</v>
      </c>
      <c r="E17" s="2">
        <v>632.1</v>
      </c>
      <c r="F17" s="1" t="s">
        <v>69</v>
      </c>
      <c r="G17" s="1" t="s">
        <v>69</v>
      </c>
      <c r="H17" s="2">
        <v>106.047</v>
      </c>
      <c r="I17" s="2">
        <v>32.039000000000001</v>
      </c>
      <c r="J17" s="2">
        <v>15.443</v>
      </c>
      <c r="K17" s="2">
        <v>119.48099999999999</v>
      </c>
      <c r="L17" s="2">
        <v>51.597000000000001</v>
      </c>
      <c r="M17" s="2">
        <v>11.618</v>
      </c>
      <c r="N17" s="4">
        <v>169.10599999999999</v>
      </c>
      <c r="O17" s="2">
        <v>169.00700000000001</v>
      </c>
      <c r="P17" s="2" t="s">
        <v>69</v>
      </c>
      <c r="Q17" s="2" t="s">
        <v>69</v>
      </c>
      <c r="R17" s="2">
        <v>55.308999999999997</v>
      </c>
      <c r="S17" s="2">
        <v>1.786</v>
      </c>
      <c r="T17" s="2">
        <v>180.852</v>
      </c>
      <c r="U17" s="2">
        <v>32.189</v>
      </c>
      <c r="V17" s="2" t="s">
        <v>69</v>
      </c>
      <c r="W17" s="2">
        <v>0.51100000000000001</v>
      </c>
      <c r="X17" s="2" t="s">
        <v>69</v>
      </c>
      <c r="Y17" s="2">
        <v>4.6640000000000006</v>
      </c>
      <c r="Z17" s="2">
        <v>1005.1</v>
      </c>
      <c r="AA17" s="2">
        <v>192.34899999999999</v>
      </c>
      <c r="AB17" s="2">
        <v>36.771999999999998</v>
      </c>
      <c r="AC17" s="2" t="s">
        <v>69</v>
      </c>
      <c r="AD17" s="2" t="s">
        <v>69</v>
      </c>
      <c r="AE17" s="2">
        <v>43.552999999999997</v>
      </c>
    </row>
    <row r="18" spans="1:31" ht="15.75" x14ac:dyDescent="0.25">
      <c r="A18" s="28">
        <v>35309</v>
      </c>
      <c r="B18" s="2">
        <v>451.67200000000003</v>
      </c>
      <c r="C18" s="2">
        <v>32.557000000000002</v>
      </c>
      <c r="D18" s="2">
        <v>1061.145</v>
      </c>
      <c r="E18" s="2">
        <v>510.30200000000002</v>
      </c>
      <c r="F18" s="1" t="s">
        <v>69</v>
      </c>
      <c r="G18" s="1" t="s">
        <v>69</v>
      </c>
      <c r="H18" s="2">
        <v>110.30200000000001</v>
      </c>
      <c r="I18" s="2">
        <v>34.685000000000002</v>
      </c>
      <c r="J18" s="2">
        <v>11.295999999999999</v>
      </c>
      <c r="K18" s="2">
        <v>125.93300000000001</v>
      </c>
      <c r="L18" s="2">
        <v>49.694000000000003</v>
      </c>
      <c r="M18" s="2">
        <v>12.661</v>
      </c>
      <c r="N18" s="4">
        <v>197.21100000000001</v>
      </c>
      <c r="O18" s="2">
        <v>17.584</v>
      </c>
      <c r="P18" s="2" t="s">
        <v>69</v>
      </c>
      <c r="Q18" s="2" t="s">
        <v>69</v>
      </c>
      <c r="R18" s="2">
        <v>29.635999999999999</v>
      </c>
      <c r="S18" s="2">
        <v>1.3839999999999999</v>
      </c>
      <c r="T18" s="2">
        <v>156.126</v>
      </c>
      <c r="U18" s="2">
        <v>27.795999999999999</v>
      </c>
      <c r="V18" s="2" t="s">
        <v>69</v>
      </c>
      <c r="W18" s="2">
        <v>0.32500000000000001</v>
      </c>
      <c r="X18" s="2" t="s">
        <v>69</v>
      </c>
      <c r="Y18" s="2">
        <v>4.0490000000000004</v>
      </c>
      <c r="Z18" s="2">
        <v>1030.9000000000001</v>
      </c>
      <c r="AA18" s="2">
        <v>193.232</v>
      </c>
      <c r="AB18" s="2">
        <v>37.435000000000002</v>
      </c>
      <c r="AC18" s="2" t="s">
        <v>69</v>
      </c>
      <c r="AD18" s="2" t="s">
        <v>69</v>
      </c>
      <c r="AE18" s="2">
        <v>50.603000000000002</v>
      </c>
    </row>
    <row r="19" spans="1:31" ht="15.75" x14ac:dyDescent="0.25">
      <c r="A19" s="28">
        <v>35339</v>
      </c>
      <c r="B19" s="2">
        <v>484.57299999999998</v>
      </c>
      <c r="C19" s="2">
        <v>37.804000000000002</v>
      </c>
      <c r="D19" s="2">
        <v>1182.8679999999999</v>
      </c>
      <c r="E19" s="2">
        <v>598.62099999999998</v>
      </c>
      <c r="F19" s="1" t="s">
        <v>69</v>
      </c>
      <c r="G19" s="1" t="s">
        <v>69</v>
      </c>
      <c r="H19" s="2">
        <v>96.823999999999998</v>
      </c>
      <c r="I19" s="2">
        <v>32.927</v>
      </c>
      <c r="J19" s="2">
        <v>21.321999999999999</v>
      </c>
      <c r="K19" s="2">
        <v>168.25399999999999</v>
      </c>
      <c r="L19" s="2">
        <v>50.819000000000003</v>
      </c>
      <c r="M19" s="2">
        <v>11.608000000000001</v>
      </c>
      <c r="N19" s="4">
        <v>212.82499999999999</v>
      </c>
      <c r="O19" s="2">
        <v>115.711</v>
      </c>
      <c r="P19" s="2" t="s">
        <v>69</v>
      </c>
      <c r="Q19" s="2" t="s">
        <v>69</v>
      </c>
      <c r="R19" s="2">
        <v>71.290000000000006</v>
      </c>
      <c r="S19" s="2">
        <v>0.40100000000000002</v>
      </c>
      <c r="T19" s="2">
        <v>193.422</v>
      </c>
      <c r="U19" s="2">
        <v>31.414999999999999</v>
      </c>
      <c r="V19" s="2" t="s">
        <v>69</v>
      </c>
      <c r="W19" s="2">
        <v>0.48499999999999999</v>
      </c>
      <c r="X19" s="2" t="s">
        <v>69</v>
      </c>
      <c r="Y19" s="2">
        <v>4.6520000000000001</v>
      </c>
      <c r="Z19" s="2">
        <v>1078.9000000000001</v>
      </c>
      <c r="AA19" s="2">
        <v>196.667</v>
      </c>
      <c r="AB19" s="2">
        <v>38.070999999999998</v>
      </c>
      <c r="AC19" s="2" t="s">
        <v>69</v>
      </c>
      <c r="AD19" s="2" t="s">
        <v>69</v>
      </c>
      <c r="AE19" s="2">
        <v>59.079000000000001</v>
      </c>
    </row>
    <row r="20" spans="1:31" ht="15.75" x14ac:dyDescent="0.25">
      <c r="A20" s="28">
        <v>35370</v>
      </c>
      <c r="B20" s="2">
        <v>637.45299999999997</v>
      </c>
      <c r="C20" s="2">
        <v>36.776000000000003</v>
      </c>
      <c r="D20" s="2">
        <v>1144.2</v>
      </c>
      <c r="E20" s="2">
        <v>645.30899999999997</v>
      </c>
      <c r="F20" s="1" t="s">
        <v>69</v>
      </c>
      <c r="G20" s="1" t="s">
        <v>69</v>
      </c>
      <c r="H20" s="2">
        <v>94.153000000000006</v>
      </c>
      <c r="I20" s="2">
        <v>32.765000000000001</v>
      </c>
      <c r="J20" s="2">
        <v>11.477</v>
      </c>
      <c r="K20" s="2">
        <v>143.46799999999999</v>
      </c>
      <c r="L20" s="2">
        <v>42.408000000000001</v>
      </c>
      <c r="M20" s="2">
        <v>4.085</v>
      </c>
      <c r="N20" s="4">
        <v>234.50500000000002</v>
      </c>
      <c r="O20" s="2">
        <v>13.164999999999999</v>
      </c>
      <c r="P20" s="2" t="s">
        <v>69</v>
      </c>
      <c r="Q20" s="2" t="s">
        <v>69</v>
      </c>
      <c r="R20" s="2">
        <v>38.308</v>
      </c>
      <c r="S20" s="2">
        <v>0.20699999999999999</v>
      </c>
      <c r="T20" s="2">
        <v>185.65899999999999</v>
      </c>
      <c r="U20" s="2">
        <v>29.911000000000001</v>
      </c>
      <c r="V20" s="2" t="s">
        <v>69</v>
      </c>
      <c r="W20" s="2">
        <v>0.32300000000000001</v>
      </c>
      <c r="X20" s="2" t="s">
        <v>69</v>
      </c>
      <c r="Y20" s="2">
        <v>4.0289999999999999</v>
      </c>
      <c r="Z20" s="2">
        <v>979.5</v>
      </c>
      <c r="AA20" s="2">
        <v>192.52</v>
      </c>
      <c r="AB20" s="2">
        <v>37.790999999999997</v>
      </c>
      <c r="AC20" s="2" t="s">
        <v>69</v>
      </c>
      <c r="AD20" s="2" t="s">
        <v>69</v>
      </c>
      <c r="AE20" s="2">
        <v>42.776000000000003</v>
      </c>
    </row>
    <row r="21" spans="1:31" ht="15.75" x14ac:dyDescent="0.25">
      <c r="A21" s="28">
        <v>35400</v>
      </c>
      <c r="B21" s="2">
        <v>520.89200000000005</v>
      </c>
      <c r="C21" s="2">
        <v>34.009</v>
      </c>
      <c r="D21" s="2">
        <v>1091.3440000000001</v>
      </c>
      <c r="E21" s="2">
        <v>533.29499999999996</v>
      </c>
      <c r="F21" s="1" t="s">
        <v>69</v>
      </c>
      <c r="G21" s="1" t="s">
        <v>69</v>
      </c>
      <c r="H21" s="2">
        <v>155.07599999999999</v>
      </c>
      <c r="I21" s="2">
        <v>31.891000000000002</v>
      </c>
      <c r="J21" s="2">
        <v>25.812999999999999</v>
      </c>
      <c r="K21" s="2">
        <v>111.858</v>
      </c>
      <c r="L21" s="2">
        <v>46.097000000000001</v>
      </c>
      <c r="M21" s="2">
        <v>7.5579999999999998</v>
      </c>
      <c r="N21" s="4">
        <v>580.04</v>
      </c>
      <c r="O21" s="2">
        <v>78.366</v>
      </c>
      <c r="P21" s="2" t="s">
        <v>69</v>
      </c>
      <c r="Q21" s="2" t="s">
        <v>69</v>
      </c>
      <c r="R21" s="2">
        <v>45.656999999999996</v>
      </c>
      <c r="S21" s="2">
        <v>0.27800000000000002</v>
      </c>
      <c r="T21" s="2">
        <v>178.87700000000001</v>
      </c>
      <c r="U21" s="2">
        <v>28.486000000000001</v>
      </c>
      <c r="V21" s="2" t="s">
        <v>69</v>
      </c>
      <c r="W21" s="2">
        <v>0.38400000000000001</v>
      </c>
      <c r="X21" s="2" t="s">
        <v>69</v>
      </c>
      <c r="Y21" s="2">
        <v>5.6680000000000001</v>
      </c>
      <c r="Z21" s="2">
        <v>1045.5999999999999</v>
      </c>
      <c r="AA21" s="2">
        <v>192.9</v>
      </c>
      <c r="AB21" s="2">
        <v>37.256999999999998</v>
      </c>
      <c r="AC21" s="2" t="s">
        <v>69</v>
      </c>
      <c r="AD21" s="2" t="s">
        <v>69</v>
      </c>
      <c r="AE21" s="2">
        <v>37.33</v>
      </c>
    </row>
    <row r="22" spans="1:31" ht="15.75" x14ac:dyDescent="0.25">
      <c r="A22" s="28">
        <v>35431</v>
      </c>
      <c r="B22" s="6">
        <v>595.21107148999999</v>
      </c>
      <c r="C22" s="6">
        <v>36.531705629999998</v>
      </c>
      <c r="D22" s="6">
        <v>1343.52091004</v>
      </c>
      <c r="E22" s="6">
        <v>590.95318814999996</v>
      </c>
      <c r="F22" s="6" t="s">
        <v>69</v>
      </c>
      <c r="G22" s="6" t="s">
        <v>69</v>
      </c>
      <c r="H22" s="2">
        <v>106.286</v>
      </c>
      <c r="I22" s="2">
        <v>43.835000000000001</v>
      </c>
      <c r="J22" s="2">
        <v>15.177</v>
      </c>
      <c r="K22" s="6">
        <v>129.83098229000001</v>
      </c>
      <c r="L22" s="2">
        <v>32.473999999999997</v>
      </c>
      <c r="M22" s="6">
        <v>17.602</v>
      </c>
      <c r="N22" s="6">
        <v>583.84103918999995</v>
      </c>
      <c r="O22" s="6">
        <v>8.4389963800000007</v>
      </c>
      <c r="P22" s="6" t="s">
        <v>69</v>
      </c>
      <c r="Q22" s="6" t="s">
        <v>69</v>
      </c>
      <c r="R22" s="6">
        <v>45.911000000000001</v>
      </c>
      <c r="S22" s="6">
        <v>0.44900000000000001</v>
      </c>
      <c r="T22" s="6">
        <v>201.649</v>
      </c>
      <c r="U22" s="6">
        <v>31.337</v>
      </c>
      <c r="V22" s="6" t="s">
        <v>69</v>
      </c>
      <c r="W22" s="6">
        <v>0.52200000000000002</v>
      </c>
      <c r="X22" s="6" t="s">
        <v>69</v>
      </c>
      <c r="Y22" s="6">
        <v>2.1849999999999996</v>
      </c>
      <c r="Z22" s="6">
        <v>1483.4</v>
      </c>
      <c r="AA22" s="6">
        <v>292.30200000000002</v>
      </c>
      <c r="AB22" s="6">
        <v>50.439</v>
      </c>
      <c r="AC22" s="6" t="s">
        <v>69</v>
      </c>
      <c r="AD22" s="6" t="s">
        <v>69</v>
      </c>
      <c r="AE22" s="6">
        <v>50.875</v>
      </c>
    </row>
    <row r="23" spans="1:31" ht="15.75" x14ac:dyDescent="0.25">
      <c r="A23" s="28">
        <v>35462</v>
      </c>
      <c r="B23" s="6">
        <v>502.17698389999998</v>
      </c>
      <c r="C23" s="6">
        <v>30.538231190000001</v>
      </c>
      <c r="D23" s="6">
        <v>1203.8761402</v>
      </c>
      <c r="E23" s="6">
        <v>498.29273106999995</v>
      </c>
      <c r="F23" s="6" t="s">
        <v>69</v>
      </c>
      <c r="G23" s="6" t="s">
        <v>69</v>
      </c>
      <c r="H23" s="2">
        <v>113.818</v>
      </c>
      <c r="I23" s="2">
        <v>40.439</v>
      </c>
      <c r="J23" s="2">
        <v>17.878</v>
      </c>
      <c r="K23" s="6">
        <v>113.17965608999999</v>
      </c>
      <c r="L23" s="2">
        <v>51.466999999999999</v>
      </c>
      <c r="M23" s="6">
        <v>4.45</v>
      </c>
      <c r="N23" s="6">
        <v>401.11390511999997</v>
      </c>
      <c r="O23" s="6">
        <v>3.83090259</v>
      </c>
      <c r="P23" s="6" t="s">
        <v>69</v>
      </c>
      <c r="Q23" s="6" t="s">
        <v>69</v>
      </c>
      <c r="R23" s="6">
        <v>41.16</v>
      </c>
      <c r="S23" s="6">
        <v>6.7000000000000004E-2</v>
      </c>
      <c r="T23" s="6">
        <v>155.64400000000001</v>
      </c>
      <c r="U23" s="6">
        <v>26.181999999999999</v>
      </c>
      <c r="V23" s="6" t="s">
        <v>69</v>
      </c>
      <c r="W23" s="6">
        <v>0.33600000000000002</v>
      </c>
      <c r="X23" s="6" t="s">
        <v>69</v>
      </c>
      <c r="Y23" s="6">
        <v>1.3159999999999998</v>
      </c>
      <c r="Z23" s="6">
        <v>1092</v>
      </c>
      <c r="AA23" s="6">
        <v>206.761</v>
      </c>
      <c r="AB23" s="6">
        <v>39.630000000000003</v>
      </c>
      <c r="AC23" s="6" t="s">
        <v>69</v>
      </c>
      <c r="AD23" s="6" t="s">
        <v>69</v>
      </c>
      <c r="AE23" s="6">
        <v>36.219000000000001</v>
      </c>
    </row>
    <row r="24" spans="1:31" ht="15.75" x14ac:dyDescent="0.25">
      <c r="A24" s="28">
        <v>35490</v>
      </c>
      <c r="B24" s="6">
        <v>493.73393046000001</v>
      </c>
      <c r="C24" s="6">
        <v>34.081649159999998</v>
      </c>
      <c r="D24" s="6">
        <v>1161.52962617</v>
      </c>
      <c r="E24" s="6">
        <v>538.18063968000001</v>
      </c>
      <c r="F24" s="6" t="s">
        <v>69</v>
      </c>
      <c r="G24" s="6" t="s">
        <v>69</v>
      </c>
      <c r="H24" s="2">
        <v>133.69200000000001</v>
      </c>
      <c r="I24" s="2">
        <v>38.991</v>
      </c>
      <c r="J24" s="2">
        <v>15.752000000000001</v>
      </c>
      <c r="K24" s="6">
        <v>113.71717129</v>
      </c>
      <c r="L24" s="2">
        <v>61.953000000000003</v>
      </c>
      <c r="M24" s="6">
        <v>3.21</v>
      </c>
      <c r="N24" s="6">
        <v>338.07502437999995</v>
      </c>
      <c r="O24" s="6">
        <v>4.5890392599999998</v>
      </c>
      <c r="P24" s="6" t="s">
        <v>69</v>
      </c>
      <c r="Q24" s="6" t="s">
        <v>69</v>
      </c>
      <c r="R24" s="6">
        <v>51.152000000000001</v>
      </c>
      <c r="S24" s="6">
        <v>2.8000000000000001E-2</v>
      </c>
      <c r="T24" s="6">
        <v>169.31299999999999</v>
      </c>
      <c r="U24" s="6">
        <v>28.437999999999999</v>
      </c>
      <c r="V24" s="6" t="s">
        <v>69</v>
      </c>
      <c r="W24" s="6">
        <v>0.251</v>
      </c>
      <c r="X24" s="6" t="s">
        <v>69</v>
      </c>
      <c r="Y24" s="6">
        <v>1.5</v>
      </c>
      <c r="Z24" s="6">
        <v>1000.8</v>
      </c>
      <c r="AA24" s="6">
        <v>176.02</v>
      </c>
      <c r="AB24" s="6">
        <v>38.753</v>
      </c>
      <c r="AC24" s="6" t="s">
        <v>69</v>
      </c>
      <c r="AD24" s="6" t="s">
        <v>69</v>
      </c>
      <c r="AE24" s="6">
        <v>34.731000000000002</v>
      </c>
    </row>
    <row r="25" spans="1:31" ht="15.75" x14ac:dyDescent="0.25">
      <c r="A25" s="28">
        <v>35521</v>
      </c>
      <c r="B25" s="6">
        <v>707.20174906</v>
      </c>
      <c r="C25" s="6">
        <v>40.426283050000002</v>
      </c>
      <c r="D25" s="6">
        <v>1168.3374551900001</v>
      </c>
      <c r="E25" s="6">
        <v>640.65536760999998</v>
      </c>
      <c r="F25" s="6" t="s">
        <v>69</v>
      </c>
      <c r="G25" s="6" t="s">
        <v>69</v>
      </c>
      <c r="H25" s="2">
        <v>90.522999999999996</v>
      </c>
      <c r="I25" s="2">
        <v>44.650999999999996</v>
      </c>
      <c r="J25" s="2">
        <v>16.384</v>
      </c>
      <c r="K25" s="6">
        <v>195.77145942999999</v>
      </c>
      <c r="L25" s="2">
        <v>55.014000000000003</v>
      </c>
      <c r="M25" s="6">
        <v>3.5379999999999998</v>
      </c>
      <c r="N25" s="6">
        <v>439.02610161000001</v>
      </c>
      <c r="O25" s="6">
        <v>69.196197209999994</v>
      </c>
      <c r="P25" s="6" t="s">
        <v>69</v>
      </c>
      <c r="Q25" s="6" t="s">
        <v>69</v>
      </c>
      <c r="R25" s="6">
        <v>14.154999999999999</v>
      </c>
      <c r="S25" s="6">
        <v>1.2170000000000001</v>
      </c>
      <c r="T25" s="6">
        <v>206.27099999999999</v>
      </c>
      <c r="U25" s="6">
        <v>33.58</v>
      </c>
      <c r="V25" s="6" t="s">
        <v>69</v>
      </c>
      <c r="W25" s="6">
        <v>0.47199999999999998</v>
      </c>
      <c r="X25" s="6" t="s">
        <v>69</v>
      </c>
      <c r="Y25" s="6">
        <v>1.569</v>
      </c>
      <c r="Z25" s="6">
        <v>1071.0999999999999</v>
      </c>
      <c r="AA25" s="6">
        <v>221.80600000000001</v>
      </c>
      <c r="AB25" s="6">
        <v>40.795999999999999</v>
      </c>
      <c r="AC25" s="6" t="s">
        <v>69</v>
      </c>
      <c r="AD25" s="6" t="s">
        <v>69</v>
      </c>
      <c r="AE25" s="6">
        <v>37.500999999999998</v>
      </c>
    </row>
    <row r="26" spans="1:31" ht="15.75" x14ac:dyDescent="0.25">
      <c r="A26" s="28">
        <v>35551</v>
      </c>
      <c r="B26" s="6">
        <v>1247.1110703499999</v>
      </c>
      <c r="C26" s="6">
        <v>41.679435900000001</v>
      </c>
      <c r="D26" s="6">
        <v>1222.08651433</v>
      </c>
      <c r="E26" s="6">
        <v>662.53675088</v>
      </c>
      <c r="F26" s="6" t="s">
        <v>69</v>
      </c>
      <c r="G26" s="6" t="s">
        <v>69</v>
      </c>
      <c r="H26" s="2">
        <v>109.61</v>
      </c>
      <c r="I26" s="2">
        <v>43.863999999999997</v>
      </c>
      <c r="J26" s="2">
        <v>16.280999999999999</v>
      </c>
      <c r="K26" s="6">
        <v>133.04231447999999</v>
      </c>
      <c r="L26" s="2">
        <v>49.084000000000003</v>
      </c>
      <c r="M26" s="6">
        <v>2.7240000000000002</v>
      </c>
      <c r="N26" s="6">
        <v>296.3195715</v>
      </c>
      <c r="O26" s="6">
        <v>68.832534539999997</v>
      </c>
      <c r="P26" s="6" t="s">
        <v>69</v>
      </c>
      <c r="Q26" s="6" t="s">
        <v>69</v>
      </c>
      <c r="R26" s="6">
        <v>38.29</v>
      </c>
      <c r="S26" s="6">
        <v>1.754</v>
      </c>
      <c r="T26" s="6">
        <v>201.02699999999999</v>
      </c>
      <c r="U26" s="6">
        <v>33.027999999999999</v>
      </c>
      <c r="V26" s="6" t="s">
        <v>69</v>
      </c>
      <c r="W26" s="6">
        <v>0.28699999999999998</v>
      </c>
      <c r="X26" s="6" t="s">
        <v>69</v>
      </c>
      <c r="Y26" s="6">
        <v>2.8890000000000002</v>
      </c>
      <c r="Z26" s="6">
        <v>1094.5</v>
      </c>
      <c r="AA26" s="6">
        <v>201.178</v>
      </c>
      <c r="AB26" s="6">
        <v>40.646000000000001</v>
      </c>
      <c r="AC26" s="6" t="s">
        <v>69</v>
      </c>
      <c r="AD26" s="6" t="s">
        <v>69</v>
      </c>
      <c r="AE26" s="6">
        <v>34.192</v>
      </c>
    </row>
    <row r="27" spans="1:31" ht="15.75" x14ac:dyDescent="0.25">
      <c r="A27" s="28">
        <v>35582</v>
      </c>
      <c r="B27" s="6">
        <v>621.07612173999996</v>
      </c>
      <c r="C27" s="6">
        <v>41.644381269999997</v>
      </c>
      <c r="D27" s="6">
        <v>1171.11404128</v>
      </c>
      <c r="E27" s="6">
        <v>603.54352733999997</v>
      </c>
      <c r="F27" s="6" t="s">
        <v>69</v>
      </c>
      <c r="G27" s="6" t="s">
        <v>69</v>
      </c>
      <c r="H27" s="2">
        <v>113.083</v>
      </c>
      <c r="I27" s="2">
        <v>42.628</v>
      </c>
      <c r="J27" s="2">
        <v>16.891999999999999</v>
      </c>
      <c r="K27" s="6">
        <v>100.80157423</v>
      </c>
      <c r="L27" s="2">
        <v>42.73</v>
      </c>
      <c r="M27" s="6">
        <v>0.68500000000000005</v>
      </c>
      <c r="N27" s="6">
        <v>369.88152385000001</v>
      </c>
      <c r="O27" s="6">
        <v>79.62804654</v>
      </c>
      <c r="P27" s="6" t="s">
        <v>69</v>
      </c>
      <c r="Q27" s="6" t="s">
        <v>69</v>
      </c>
      <c r="R27" s="6">
        <v>40.497999999999998</v>
      </c>
      <c r="S27" s="6">
        <v>0.68600000000000005</v>
      </c>
      <c r="T27" s="6">
        <v>184.214</v>
      </c>
      <c r="U27" s="6">
        <v>32.353999999999999</v>
      </c>
      <c r="V27" s="6" t="s">
        <v>69</v>
      </c>
      <c r="W27" s="6">
        <v>0.32300000000000001</v>
      </c>
      <c r="X27" s="6" t="s">
        <v>69</v>
      </c>
      <c r="Y27" s="6">
        <v>1.722</v>
      </c>
      <c r="Z27" s="6">
        <v>1033.8</v>
      </c>
      <c r="AA27" s="6">
        <v>180.15100000000001</v>
      </c>
      <c r="AB27" s="6">
        <v>39.881</v>
      </c>
      <c r="AC27" s="6" t="s">
        <v>69</v>
      </c>
      <c r="AD27" s="6" t="s">
        <v>69</v>
      </c>
      <c r="AE27" s="6">
        <v>31.927</v>
      </c>
    </row>
    <row r="28" spans="1:31" ht="15.75" x14ac:dyDescent="0.25">
      <c r="A28" s="28">
        <v>35612</v>
      </c>
      <c r="B28" s="6">
        <v>545.3035272300001</v>
      </c>
      <c r="C28" s="6">
        <v>47.670522290000001</v>
      </c>
      <c r="D28" s="6">
        <v>1139.3402631599999</v>
      </c>
      <c r="E28" s="6">
        <v>689.77525216000004</v>
      </c>
      <c r="F28" s="6" t="s">
        <v>69</v>
      </c>
      <c r="G28" s="6" t="s">
        <v>69</v>
      </c>
      <c r="H28" s="2">
        <v>93.83</v>
      </c>
      <c r="I28" s="2">
        <v>42.736999999999995</v>
      </c>
      <c r="J28" s="2">
        <v>13.784000000000001</v>
      </c>
      <c r="K28" s="6">
        <v>179.04620202999999</v>
      </c>
      <c r="L28" s="2">
        <v>43.951999999999998</v>
      </c>
      <c r="M28" s="6">
        <v>1.724</v>
      </c>
      <c r="N28" s="6">
        <v>395.86867652000001</v>
      </c>
      <c r="O28" s="6">
        <v>16.210760669999999</v>
      </c>
      <c r="P28" s="6" t="s">
        <v>69</v>
      </c>
      <c r="Q28" s="6" t="s">
        <v>69</v>
      </c>
      <c r="R28" s="6">
        <v>45.845999999999997</v>
      </c>
      <c r="S28" s="6">
        <v>0.88100000000000001</v>
      </c>
      <c r="T28" s="6">
        <v>221.018</v>
      </c>
      <c r="U28" s="6">
        <v>37.280999999999999</v>
      </c>
      <c r="V28" s="6" t="s">
        <v>69</v>
      </c>
      <c r="W28" s="6">
        <v>0.23400000000000001</v>
      </c>
      <c r="X28" s="6" t="s">
        <v>69</v>
      </c>
      <c r="Y28" s="6">
        <v>2.0190000000000001</v>
      </c>
      <c r="Z28" s="6">
        <v>1572.1</v>
      </c>
      <c r="AA28" s="6">
        <v>309.12700000000001</v>
      </c>
      <c r="AB28" s="6">
        <v>52.043999999999997</v>
      </c>
      <c r="AC28" s="6" t="s">
        <v>69</v>
      </c>
      <c r="AD28" s="6" t="s">
        <v>69</v>
      </c>
      <c r="AE28" s="6">
        <v>32.76</v>
      </c>
    </row>
    <row r="29" spans="1:31" ht="15.75" x14ac:dyDescent="0.25">
      <c r="A29" s="28">
        <v>35643</v>
      </c>
      <c r="B29" s="6">
        <v>625.53179258</v>
      </c>
      <c r="C29" s="6">
        <v>43.451456409999999</v>
      </c>
      <c r="D29" s="6">
        <v>1254.1714655000001</v>
      </c>
      <c r="E29" s="6">
        <v>659.82065471999999</v>
      </c>
      <c r="F29" s="6" t="s">
        <v>69</v>
      </c>
      <c r="G29" s="6" t="s">
        <v>69</v>
      </c>
      <c r="H29" s="2">
        <v>106.584</v>
      </c>
      <c r="I29" s="2">
        <v>43.718000000000004</v>
      </c>
      <c r="J29" s="2">
        <v>13.07</v>
      </c>
      <c r="K29" s="6">
        <v>162.67501679</v>
      </c>
      <c r="L29" s="2">
        <v>44.872</v>
      </c>
      <c r="M29" s="6">
        <v>4.4050000000000002</v>
      </c>
      <c r="N29" s="6">
        <v>429.08829781999998</v>
      </c>
      <c r="O29" s="6">
        <v>77.891073449999993</v>
      </c>
      <c r="P29" s="6" t="s">
        <v>69</v>
      </c>
      <c r="Q29" s="6" t="s">
        <v>69</v>
      </c>
      <c r="R29" s="6">
        <v>44.627000000000002</v>
      </c>
      <c r="S29" s="6">
        <v>0.41499999999999998</v>
      </c>
      <c r="T29" s="6">
        <v>206.339</v>
      </c>
      <c r="U29" s="6">
        <v>32.929000000000002</v>
      </c>
      <c r="V29" s="6" t="s">
        <v>69</v>
      </c>
      <c r="W29" s="6">
        <v>0.23100000000000001</v>
      </c>
      <c r="X29" s="6" t="s">
        <v>69</v>
      </c>
      <c r="Y29" s="6">
        <v>1.3009999999999999</v>
      </c>
      <c r="Z29" s="6">
        <v>1047</v>
      </c>
      <c r="AA29" s="6">
        <v>184.09899999999999</v>
      </c>
      <c r="AB29" s="6">
        <v>40.542999999999999</v>
      </c>
      <c r="AC29" s="6" t="s">
        <v>69</v>
      </c>
      <c r="AD29" s="6" t="s">
        <v>69</v>
      </c>
      <c r="AE29" s="6">
        <v>30.896999999999998</v>
      </c>
    </row>
    <row r="30" spans="1:31" ht="15.75" x14ac:dyDescent="0.25">
      <c r="A30" s="28">
        <v>35674</v>
      </c>
      <c r="B30" s="6">
        <v>528.44813562000002</v>
      </c>
      <c r="C30" s="6">
        <v>46.4527474</v>
      </c>
      <c r="D30" s="6">
        <v>1250.67840396</v>
      </c>
      <c r="E30" s="6">
        <v>785.84867196999994</v>
      </c>
      <c r="F30" s="6" t="s">
        <v>69</v>
      </c>
      <c r="G30" s="6" t="s">
        <v>69</v>
      </c>
      <c r="H30" s="2">
        <v>116.438</v>
      </c>
      <c r="I30" s="2">
        <v>43.956999999999994</v>
      </c>
      <c r="J30" s="2">
        <v>20.11</v>
      </c>
      <c r="K30" s="6">
        <v>111.93120657999999</v>
      </c>
      <c r="L30" s="2">
        <v>48.185000000000002</v>
      </c>
      <c r="M30" s="6">
        <v>1.681</v>
      </c>
      <c r="N30" s="6">
        <v>478.20813025999996</v>
      </c>
      <c r="O30" s="6">
        <v>8.1679679600000004</v>
      </c>
      <c r="P30" s="6" t="s">
        <v>69</v>
      </c>
      <c r="Q30" s="6" t="s">
        <v>69</v>
      </c>
      <c r="R30" s="6">
        <v>42.13</v>
      </c>
      <c r="S30" s="6">
        <v>0.627</v>
      </c>
      <c r="T30" s="6">
        <v>223.01</v>
      </c>
      <c r="U30" s="6">
        <v>34.436999999999998</v>
      </c>
      <c r="V30" s="6" t="s">
        <v>69</v>
      </c>
      <c r="W30" s="6">
        <v>0.249</v>
      </c>
      <c r="X30" s="6" t="s">
        <v>69</v>
      </c>
      <c r="Y30" s="6">
        <v>1.694</v>
      </c>
      <c r="Z30" s="6">
        <v>1084.5999999999999</v>
      </c>
      <c r="AA30" s="6">
        <v>202.14</v>
      </c>
      <c r="AB30" s="6">
        <v>43.045000000000002</v>
      </c>
      <c r="AC30" s="6" t="s">
        <v>69</v>
      </c>
      <c r="AD30" s="6" t="s">
        <v>69</v>
      </c>
      <c r="AE30" s="6">
        <v>30.468</v>
      </c>
    </row>
    <row r="31" spans="1:31" ht="15.75" x14ac:dyDescent="0.25">
      <c r="A31" s="28">
        <v>35704</v>
      </c>
      <c r="B31" s="6">
        <v>649.90264774999991</v>
      </c>
      <c r="C31" s="6">
        <v>46.173400489999999</v>
      </c>
      <c r="D31" s="6">
        <v>1228.1558526599999</v>
      </c>
      <c r="E31" s="6">
        <v>745.15389821999997</v>
      </c>
      <c r="F31" s="6" t="s">
        <v>69</v>
      </c>
      <c r="G31" s="6" t="s">
        <v>69</v>
      </c>
      <c r="H31" s="2">
        <v>102.91200000000001</v>
      </c>
      <c r="I31" s="2">
        <v>41.494999999999997</v>
      </c>
      <c r="J31" s="2">
        <v>15.569000000000001</v>
      </c>
      <c r="K31" s="6">
        <v>311.30348807000001</v>
      </c>
      <c r="L31" s="2">
        <v>63.03</v>
      </c>
      <c r="M31" s="6">
        <v>12.379</v>
      </c>
      <c r="N31" s="6">
        <v>426.53380637999999</v>
      </c>
      <c r="O31" s="6">
        <v>71.349695310000001</v>
      </c>
      <c r="P31" s="6" t="s">
        <v>69</v>
      </c>
      <c r="Q31" s="6" t="s">
        <v>69</v>
      </c>
      <c r="R31" s="6">
        <v>36.850999999999999</v>
      </c>
      <c r="S31" s="6">
        <v>0.159</v>
      </c>
      <c r="T31" s="6">
        <v>232.40899999999999</v>
      </c>
      <c r="U31" s="6">
        <v>35.408999999999999</v>
      </c>
      <c r="V31" s="6" t="s">
        <v>69</v>
      </c>
      <c r="W31" s="6">
        <v>0.29299999999999998</v>
      </c>
      <c r="X31" s="6" t="s">
        <v>69</v>
      </c>
      <c r="Y31" s="6">
        <v>1.901</v>
      </c>
      <c r="Z31" s="6">
        <v>1115.0999999999999</v>
      </c>
      <c r="AA31" s="6">
        <v>226.31299999999999</v>
      </c>
      <c r="AB31" s="6">
        <v>43.59</v>
      </c>
      <c r="AC31" s="6" t="s">
        <v>69</v>
      </c>
      <c r="AD31" s="6" t="s">
        <v>69</v>
      </c>
      <c r="AE31" s="6">
        <v>29.536999999999999</v>
      </c>
    </row>
    <row r="32" spans="1:31" ht="15.75" x14ac:dyDescent="0.25">
      <c r="A32" s="28">
        <v>35735</v>
      </c>
      <c r="B32" s="6">
        <v>722.50808916999995</v>
      </c>
      <c r="C32" s="6">
        <v>43.91679018</v>
      </c>
      <c r="D32" s="6">
        <v>1235.44741331</v>
      </c>
      <c r="E32" s="6">
        <v>638.42250214000001</v>
      </c>
      <c r="F32" s="6" t="s">
        <v>69</v>
      </c>
      <c r="G32" s="6" t="s">
        <v>69</v>
      </c>
      <c r="H32" s="2">
        <v>117.608</v>
      </c>
      <c r="I32" s="2">
        <v>65.179000000000002</v>
      </c>
      <c r="J32" s="2">
        <v>13.582000000000001</v>
      </c>
      <c r="K32" s="6">
        <v>152.85805525999999</v>
      </c>
      <c r="L32" s="2">
        <v>50.863</v>
      </c>
      <c r="M32" s="6">
        <v>5.5990000000000002</v>
      </c>
      <c r="N32" s="6">
        <v>532.99596020000001</v>
      </c>
      <c r="O32" s="6">
        <v>7.63452267</v>
      </c>
      <c r="P32" s="6" t="s">
        <v>69</v>
      </c>
      <c r="Q32" s="6" t="s">
        <v>69</v>
      </c>
      <c r="R32" s="6">
        <v>45.865000000000002</v>
      </c>
      <c r="S32" s="6">
        <v>0.122</v>
      </c>
      <c r="T32" s="6">
        <v>223.50700000000001</v>
      </c>
      <c r="U32" s="6">
        <v>34.75</v>
      </c>
      <c r="V32" s="6" t="s">
        <v>69</v>
      </c>
      <c r="W32" s="6">
        <v>0.27400000000000002</v>
      </c>
      <c r="X32" s="6" t="s">
        <v>69</v>
      </c>
      <c r="Y32" s="6">
        <v>1.6879999999999999</v>
      </c>
      <c r="Z32" s="6">
        <v>1070.4000000000001</v>
      </c>
      <c r="AA32" s="6">
        <v>205.35400000000001</v>
      </c>
      <c r="AB32" s="6">
        <v>42.45</v>
      </c>
      <c r="AC32" s="6" t="s">
        <v>69</v>
      </c>
      <c r="AD32" s="6" t="s">
        <v>69</v>
      </c>
      <c r="AE32" s="6">
        <v>26.045999999999999</v>
      </c>
    </row>
    <row r="33" spans="1:31" ht="15.75" x14ac:dyDescent="0.25">
      <c r="A33" s="28">
        <v>35765</v>
      </c>
      <c r="B33" s="6">
        <v>599.82603977999997</v>
      </c>
      <c r="C33" s="6">
        <v>43.180474629999999</v>
      </c>
      <c r="D33" s="6">
        <v>1260.72843367</v>
      </c>
      <c r="E33" s="6">
        <v>644.94811092999998</v>
      </c>
      <c r="F33" s="6" t="s">
        <v>69</v>
      </c>
      <c r="G33" s="6" t="s">
        <v>69</v>
      </c>
      <c r="H33" s="2">
        <v>113.86199999999999</v>
      </c>
      <c r="I33" s="2">
        <v>91.358000000000004</v>
      </c>
      <c r="J33" s="2">
        <v>19.346</v>
      </c>
      <c r="K33" s="6">
        <v>159.08667489999999</v>
      </c>
      <c r="L33" s="2">
        <v>49.569000000000003</v>
      </c>
      <c r="M33" s="6">
        <v>2.3199999999999998</v>
      </c>
      <c r="N33" s="6">
        <v>719.39946825000004</v>
      </c>
      <c r="O33" s="6">
        <v>72.924053009999994</v>
      </c>
      <c r="P33" s="6" t="s">
        <v>69</v>
      </c>
      <c r="Q33" s="6" t="s">
        <v>69</v>
      </c>
      <c r="R33" s="6">
        <v>46.082000000000001</v>
      </c>
      <c r="S33" s="6">
        <v>0.08</v>
      </c>
      <c r="T33" s="6">
        <v>204.77199999999999</v>
      </c>
      <c r="U33" s="6">
        <v>32.405999999999999</v>
      </c>
      <c r="V33" s="6" t="s">
        <v>69</v>
      </c>
      <c r="W33" s="6">
        <v>0.39200000000000002</v>
      </c>
      <c r="X33" s="6" t="s">
        <v>69</v>
      </c>
      <c r="Y33" s="6">
        <v>1.3879999999999999</v>
      </c>
      <c r="Z33" s="6">
        <v>1162.7</v>
      </c>
      <c r="AA33" s="6">
        <v>202.46299999999999</v>
      </c>
      <c r="AB33" s="6">
        <v>41.430999999999997</v>
      </c>
      <c r="AC33" s="6" t="s">
        <v>69</v>
      </c>
      <c r="AD33" s="7" t="s">
        <v>69</v>
      </c>
      <c r="AE33" s="6">
        <v>25.119</v>
      </c>
    </row>
    <row r="34" spans="1:31" ht="15.75" x14ac:dyDescent="0.25">
      <c r="A34" s="28">
        <v>35796</v>
      </c>
      <c r="B34" s="6">
        <v>616.42548852000004</v>
      </c>
      <c r="C34" s="6">
        <v>36.157219550000001</v>
      </c>
      <c r="D34" s="6">
        <v>1379.61723594</v>
      </c>
      <c r="E34" s="6">
        <v>622.02992523</v>
      </c>
      <c r="F34" s="6" t="s">
        <v>69</v>
      </c>
      <c r="G34" s="6" t="s">
        <v>69</v>
      </c>
      <c r="H34" s="6">
        <v>103.804</v>
      </c>
      <c r="I34" s="6">
        <v>64.490999999999985</v>
      </c>
      <c r="J34" s="6">
        <v>17.062000000000001</v>
      </c>
      <c r="K34" s="6">
        <v>257.00038453000002</v>
      </c>
      <c r="L34" s="6">
        <v>37.378999999999998</v>
      </c>
      <c r="M34" s="6">
        <v>1.069</v>
      </c>
      <c r="N34" s="6">
        <v>225.66124593000001</v>
      </c>
      <c r="O34" s="6">
        <v>6.3818035200000001</v>
      </c>
      <c r="P34" s="6" t="s">
        <v>69</v>
      </c>
      <c r="Q34" s="6" t="s">
        <v>69</v>
      </c>
      <c r="R34" s="6">
        <v>48.323</v>
      </c>
      <c r="S34" s="6">
        <v>5.1852700000000002E-2</v>
      </c>
      <c r="T34" s="6">
        <v>205.886</v>
      </c>
      <c r="U34" s="6">
        <v>18.542999999999999</v>
      </c>
      <c r="V34" s="6" t="s">
        <v>69</v>
      </c>
      <c r="W34" s="6">
        <v>0.60599999999999998</v>
      </c>
      <c r="X34" s="6" t="s">
        <v>69</v>
      </c>
      <c r="Y34" s="6">
        <v>1.7630000000000001</v>
      </c>
      <c r="Z34" s="6">
        <v>1544.7</v>
      </c>
      <c r="AA34" s="6">
        <v>306.41000000000003</v>
      </c>
      <c r="AB34" s="6">
        <v>55.484000000000002</v>
      </c>
      <c r="AC34" s="6" t="s">
        <v>69</v>
      </c>
      <c r="AD34" s="6" t="s">
        <v>69</v>
      </c>
      <c r="AE34" s="6">
        <v>26.925999999999998</v>
      </c>
    </row>
    <row r="35" spans="1:31" ht="15.75" x14ac:dyDescent="0.25">
      <c r="A35" s="28">
        <v>35827</v>
      </c>
      <c r="B35" s="6">
        <v>654.03778432000001</v>
      </c>
      <c r="C35" s="6">
        <v>35.187765450000001</v>
      </c>
      <c r="D35" s="6">
        <v>1240.7434427399999</v>
      </c>
      <c r="E35" s="6">
        <v>551.93449266999994</v>
      </c>
      <c r="F35" s="6" t="s">
        <v>69</v>
      </c>
      <c r="G35" s="6" t="s">
        <v>69</v>
      </c>
      <c r="H35" s="6">
        <v>124.18</v>
      </c>
      <c r="I35" s="6">
        <v>31.971</v>
      </c>
      <c r="J35" s="6">
        <v>13.772</v>
      </c>
      <c r="K35" s="6">
        <v>98.173151750000002</v>
      </c>
      <c r="L35" s="6">
        <v>34.148000000000003</v>
      </c>
      <c r="M35" s="6">
        <v>0.157</v>
      </c>
      <c r="N35" s="6">
        <v>349.98094643000002</v>
      </c>
      <c r="O35" s="6">
        <v>71.632562910000004</v>
      </c>
      <c r="P35" s="6" t="s">
        <v>69</v>
      </c>
      <c r="Q35" s="6" t="s">
        <v>69</v>
      </c>
      <c r="R35" s="6">
        <v>39.113999999999997</v>
      </c>
      <c r="S35" s="6">
        <v>4.5443480000000001E-2</v>
      </c>
      <c r="T35" s="6">
        <v>178.63300000000001</v>
      </c>
      <c r="U35" s="6">
        <v>4.556</v>
      </c>
      <c r="V35" s="6" t="s">
        <v>69</v>
      </c>
      <c r="W35" s="6">
        <v>0.44500000000000001</v>
      </c>
      <c r="X35" s="6" t="s">
        <v>69</v>
      </c>
      <c r="Y35" s="6">
        <v>1.643</v>
      </c>
      <c r="Z35" s="6">
        <v>1111</v>
      </c>
      <c r="AA35" s="6">
        <v>222.77</v>
      </c>
      <c r="AB35" s="6">
        <v>44.594999999999999</v>
      </c>
      <c r="AC35" s="6" t="s">
        <v>69</v>
      </c>
      <c r="AD35" s="6" t="s">
        <v>69</v>
      </c>
      <c r="AE35" s="6">
        <v>23.137</v>
      </c>
    </row>
    <row r="36" spans="1:31" ht="15.75" x14ac:dyDescent="0.25">
      <c r="A36" s="28">
        <v>35855</v>
      </c>
      <c r="B36" s="6">
        <v>548.19866060000004</v>
      </c>
      <c r="C36" s="6">
        <v>44.649996989999998</v>
      </c>
      <c r="D36" s="6">
        <v>1178.4726552099999</v>
      </c>
      <c r="E36" s="6">
        <v>690.65707165000003</v>
      </c>
      <c r="F36" s="6" t="s">
        <v>69</v>
      </c>
      <c r="G36" s="6" t="s">
        <v>69</v>
      </c>
      <c r="H36" s="6">
        <v>115.59099999999999</v>
      </c>
      <c r="I36" s="6">
        <v>41.572999999999993</v>
      </c>
      <c r="J36" s="6">
        <v>19.763000000000002</v>
      </c>
      <c r="K36" s="6">
        <v>42.266120090000001</v>
      </c>
      <c r="L36" s="6">
        <v>43.874000000000002</v>
      </c>
      <c r="M36" s="6">
        <v>0.39400000000000002</v>
      </c>
      <c r="N36" s="6">
        <v>379.46025112999996</v>
      </c>
      <c r="O36" s="6">
        <v>8.2860223699999995</v>
      </c>
      <c r="P36" s="6" t="s">
        <v>69</v>
      </c>
      <c r="Q36" s="6" t="s">
        <v>69</v>
      </c>
      <c r="R36" s="6">
        <v>32.19</v>
      </c>
      <c r="S36" s="6">
        <v>1.2450842099999999</v>
      </c>
      <c r="T36" s="6">
        <v>241.095</v>
      </c>
      <c r="U36" s="6">
        <v>6.4829999999999997</v>
      </c>
      <c r="V36" s="6" t="s">
        <v>69</v>
      </c>
      <c r="W36" s="6">
        <v>0.379</v>
      </c>
      <c r="X36" s="6" t="s">
        <v>69</v>
      </c>
      <c r="Y36" s="6">
        <v>1.885</v>
      </c>
      <c r="Z36" s="6">
        <v>1067.2</v>
      </c>
      <c r="AA36" s="6">
        <v>211.75899999999999</v>
      </c>
      <c r="AB36" s="6">
        <v>44.335999999999999</v>
      </c>
      <c r="AC36" s="6" t="s">
        <v>69</v>
      </c>
      <c r="AD36" s="6" t="s">
        <v>69</v>
      </c>
      <c r="AE36" s="6">
        <v>24.484999999999999</v>
      </c>
    </row>
    <row r="37" spans="1:31" ht="15.75" x14ac:dyDescent="0.25">
      <c r="A37" s="28">
        <v>35886</v>
      </c>
      <c r="B37" s="6">
        <v>715.92716339000003</v>
      </c>
      <c r="C37" s="6">
        <v>42.139088190000002</v>
      </c>
      <c r="D37" s="6">
        <v>1246.3767728100001</v>
      </c>
      <c r="E37" s="6">
        <v>667.22372461999998</v>
      </c>
      <c r="F37" s="6" t="s">
        <v>69</v>
      </c>
      <c r="G37" s="6" t="s">
        <v>69</v>
      </c>
      <c r="H37" s="6">
        <v>109.922</v>
      </c>
      <c r="I37" s="6">
        <v>57.627000000000002</v>
      </c>
      <c r="J37" s="6">
        <v>15.878</v>
      </c>
      <c r="K37" s="6">
        <v>312.69104234999998</v>
      </c>
      <c r="L37" s="6">
        <v>55.118000000000002</v>
      </c>
      <c r="M37" s="6">
        <v>0.16800000000000001</v>
      </c>
      <c r="N37" s="6">
        <v>392.18810540000004</v>
      </c>
      <c r="O37" s="6">
        <v>86.460608019999995</v>
      </c>
      <c r="P37" s="6" t="s">
        <v>69</v>
      </c>
      <c r="Q37" s="6" t="s">
        <v>69</v>
      </c>
      <c r="R37" s="6">
        <v>29.84</v>
      </c>
      <c r="S37" s="6">
        <v>3.9005855399999998</v>
      </c>
      <c r="T37" s="6">
        <v>231.10900000000001</v>
      </c>
      <c r="U37" s="6">
        <v>5.508</v>
      </c>
      <c r="V37" s="6" t="s">
        <v>69</v>
      </c>
      <c r="W37" s="6">
        <v>0.52500000000000002</v>
      </c>
      <c r="X37" s="6" t="s">
        <v>69</v>
      </c>
      <c r="Y37" s="6">
        <v>1.2529999999999999</v>
      </c>
      <c r="Z37" s="6">
        <v>1074.5</v>
      </c>
      <c r="AA37" s="6">
        <v>212.66</v>
      </c>
      <c r="AB37" s="6">
        <v>44.44</v>
      </c>
      <c r="AC37" s="6" t="s">
        <v>69</v>
      </c>
      <c r="AD37" s="6" t="s">
        <v>69</v>
      </c>
      <c r="AE37" s="6">
        <v>22.274999999999999</v>
      </c>
    </row>
    <row r="38" spans="1:31" ht="15.75" x14ac:dyDescent="0.25">
      <c r="A38" s="28">
        <v>35916</v>
      </c>
      <c r="B38" s="6">
        <v>1346.35737866</v>
      </c>
      <c r="C38" s="6">
        <v>42.057277499999998</v>
      </c>
      <c r="D38" s="6">
        <v>1182.4862401299999</v>
      </c>
      <c r="E38" s="6">
        <v>624.69378942000003</v>
      </c>
      <c r="F38" s="6" t="s">
        <v>69</v>
      </c>
      <c r="G38" s="6" t="s">
        <v>69</v>
      </c>
      <c r="H38" s="6">
        <v>106.461</v>
      </c>
      <c r="I38" s="6">
        <v>48.09</v>
      </c>
      <c r="J38" s="6">
        <v>12.691000000000001</v>
      </c>
      <c r="K38" s="6">
        <v>79.489652699999994</v>
      </c>
      <c r="L38" s="6">
        <v>45.103999999999999</v>
      </c>
      <c r="M38" s="6">
        <v>5.8000000000000003E-2</v>
      </c>
      <c r="N38" s="6">
        <v>435.62169724</v>
      </c>
      <c r="O38" s="6">
        <v>81.352169020000005</v>
      </c>
      <c r="P38" s="6" t="s">
        <v>69</v>
      </c>
      <c r="Q38" s="6" t="s">
        <v>69</v>
      </c>
      <c r="R38" s="6">
        <v>38.887999999999998</v>
      </c>
      <c r="S38" s="6">
        <v>5.5439425</v>
      </c>
      <c r="T38" s="6">
        <v>222.63399999999999</v>
      </c>
      <c r="U38" s="6">
        <v>5.4349999999999996</v>
      </c>
      <c r="V38" s="6" t="s">
        <v>69</v>
      </c>
      <c r="W38" s="6">
        <v>0.42699999999999999</v>
      </c>
      <c r="X38" s="6" t="s">
        <v>69</v>
      </c>
      <c r="Y38" s="6">
        <v>1.409</v>
      </c>
      <c r="Z38" s="6">
        <v>1095.5999999999999</v>
      </c>
      <c r="AA38" s="6">
        <v>210.828</v>
      </c>
      <c r="AB38" s="6">
        <v>43.685000000000002</v>
      </c>
      <c r="AC38" s="6" t="s">
        <v>69</v>
      </c>
      <c r="AD38" s="6" t="s">
        <v>69</v>
      </c>
      <c r="AE38" s="6">
        <v>14.736000000000001</v>
      </c>
    </row>
    <row r="39" spans="1:31" ht="15.75" x14ac:dyDescent="0.25">
      <c r="A39" s="28">
        <v>35947</v>
      </c>
      <c r="B39" s="6">
        <v>965.32103993999999</v>
      </c>
      <c r="C39" s="6">
        <v>46.966368439999997</v>
      </c>
      <c r="D39" s="6">
        <v>1234.9180395599999</v>
      </c>
      <c r="E39" s="6">
        <v>687.09125219999999</v>
      </c>
      <c r="F39" s="6" t="s">
        <v>69</v>
      </c>
      <c r="G39" s="6" t="s">
        <v>69</v>
      </c>
      <c r="H39" s="6">
        <v>105.38</v>
      </c>
      <c r="I39" s="6">
        <v>60.239000000000004</v>
      </c>
      <c r="J39" s="6">
        <v>20.173999999999999</v>
      </c>
      <c r="K39" s="6">
        <v>34.374527559999997</v>
      </c>
      <c r="L39" s="6">
        <v>37.771000000000001</v>
      </c>
      <c r="M39" s="6">
        <v>6.4409999999999998</v>
      </c>
      <c r="N39" s="6">
        <v>431.01525641000001</v>
      </c>
      <c r="O39" s="6">
        <v>148.68030446</v>
      </c>
      <c r="P39" s="6" t="s">
        <v>69</v>
      </c>
      <c r="Q39" s="6" t="s">
        <v>69</v>
      </c>
      <c r="R39" s="6">
        <v>31.577999999999999</v>
      </c>
      <c r="S39" s="6">
        <v>7.4988617199999998</v>
      </c>
      <c r="T39" s="6">
        <v>235.286</v>
      </c>
      <c r="U39" s="6">
        <v>6.5709999999999997</v>
      </c>
      <c r="V39" s="6" t="s">
        <v>69</v>
      </c>
      <c r="W39" s="6">
        <v>0.51800000000000002</v>
      </c>
      <c r="X39" s="6" t="s">
        <v>69</v>
      </c>
      <c r="Y39" s="6">
        <v>2.0380000000000003</v>
      </c>
      <c r="Z39" s="6">
        <v>1144.2</v>
      </c>
      <c r="AA39" s="6">
        <v>210.93</v>
      </c>
      <c r="AB39" s="6">
        <v>44.133000000000003</v>
      </c>
      <c r="AC39" s="6" t="s">
        <v>69</v>
      </c>
      <c r="AD39" s="6" t="s">
        <v>69</v>
      </c>
      <c r="AE39" s="6">
        <v>10.457000000000001</v>
      </c>
    </row>
    <row r="40" spans="1:31" ht="15.75" x14ac:dyDescent="0.25">
      <c r="A40" s="28">
        <v>35977</v>
      </c>
      <c r="B40" s="6">
        <v>656.21105174000002</v>
      </c>
      <c r="C40" s="6">
        <v>49.279134800000001</v>
      </c>
      <c r="D40" s="6">
        <v>1286.2568610000001</v>
      </c>
      <c r="E40" s="6">
        <v>718.99152571000002</v>
      </c>
      <c r="F40" s="6" t="s">
        <v>69</v>
      </c>
      <c r="G40" s="6" t="s">
        <v>69</v>
      </c>
      <c r="H40" s="6">
        <v>108.952</v>
      </c>
      <c r="I40" s="6">
        <v>54.818999999999996</v>
      </c>
      <c r="J40" s="6">
        <v>15.243</v>
      </c>
      <c r="K40" s="6">
        <v>224.46903474999999</v>
      </c>
      <c r="L40" s="6">
        <v>43.768999999999998</v>
      </c>
      <c r="M40" s="6">
        <v>4.2110000000000003</v>
      </c>
      <c r="N40" s="6">
        <v>477.10513695999998</v>
      </c>
      <c r="O40" s="6">
        <v>16.173776029999999</v>
      </c>
      <c r="P40" s="6" t="s">
        <v>69</v>
      </c>
      <c r="Q40" s="6" t="s">
        <v>69</v>
      </c>
      <c r="R40" s="6">
        <v>36.134</v>
      </c>
      <c r="S40" s="6">
        <v>2.6356252900000001</v>
      </c>
      <c r="T40" s="6">
        <v>254.57300000000001</v>
      </c>
      <c r="U40" s="6">
        <v>6.5460000000000003</v>
      </c>
      <c r="V40" s="6" t="s">
        <v>69</v>
      </c>
      <c r="W40" s="6">
        <v>0.505</v>
      </c>
      <c r="X40" s="6" t="s">
        <v>69</v>
      </c>
      <c r="Y40" s="6">
        <v>3.6269999999999998</v>
      </c>
      <c r="Z40" s="6">
        <v>1587.5</v>
      </c>
      <c r="AA40" s="6">
        <v>315.12200000000001</v>
      </c>
      <c r="AB40" s="6">
        <v>57.9</v>
      </c>
      <c r="AC40" s="6" t="s">
        <v>69</v>
      </c>
      <c r="AD40" s="6" t="s">
        <v>69</v>
      </c>
      <c r="AE40" s="6">
        <v>9.3719999999999999</v>
      </c>
    </row>
    <row r="41" spans="1:31" ht="15.75" x14ac:dyDescent="0.25">
      <c r="A41" s="28">
        <v>36008</v>
      </c>
      <c r="B41" s="6">
        <v>743.99357613000006</v>
      </c>
      <c r="C41" s="6">
        <v>42.422942650000003</v>
      </c>
      <c r="D41" s="6">
        <v>1248.8756634599999</v>
      </c>
      <c r="E41" s="6">
        <v>659.96649012</v>
      </c>
      <c r="F41" s="6" t="s">
        <v>69</v>
      </c>
      <c r="G41" s="6" t="s">
        <v>69</v>
      </c>
      <c r="H41" s="6">
        <v>107.90300000000001</v>
      </c>
      <c r="I41" s="6">
        <v>65.022999999999996</v>
      </c>
      <c r="J41" s="6">
        <v>16.802</v>
      </c>
      <c r="K41" s="6">
        <v>158.46536545999999</v>
      </c>
      <c r="L41" s="6">
        <v>38.055999999999997</v>
      </c>
      <c r="M41" s="6">
        <v>0.38100000000000001</v>
      </c>
      <c r="N41" s="6">
        <v>452.07254481999996</v>
      </c>
      <c r="O41" s="6">
        <v>97.425189419999995</v>
      </c>
      <c r="P41" s="6" t="s">
        <v>69</v>
      </c>
      <c r="Q41" s="6" t="s">
        <v>69</v>
      </c>
      <c r="R41" s="6">
        <v>38.939</v>
      </c>
      <c r="S41" s="6">
        <v>4.08216672</v>
      </c>
      <c r="T41" s="6">
        <v>235.22499999999999</v>
      </c>
      <c r="U41" s="6">
        <v>6.0620000000000003</v>
      </c>
      <c r="V41" s="6" t="s">
        <v>69</v>
      </c>
      <c r="W41" s="6">
        <v>0.437</v>
      </c>
      <c r="X41" s="6" t="s">
        <v>69</v>
      </c>
      <c r="Y41" s="6">
        <v>3.698</v>
      </c>
      <c r="Z41" s="6">
        <v>1127.0999999999999</v>
      </c>
      <c r="AA41" s="6">
        <v>216.214</v>
      </c>
      <c r="AB41" s="6">
        <v>47.052</v>
      </c>
      <c r="AC41" s="6" t="s">
        <v>69</v>
      </c>
      <c r="AD41" s="6" t="s">
        <v>69</v>
      </c>
      <c r="AE41" s="6">
        <v>8.5779999999999994</v>
      </c>
    </row>
    <row r="42" spans="1:31" ht="15.75" x14ac:dyDescent="0.25">
      <c r="A42" s="28">
        <v>36039</v>
      </c>
      <c r="B42" s="6">
        <v>534.99203833999991</v>
      </c>
      <c r="C42" s="6">
        <v>42.450786409999999</v>
      </c>
      <c r="D42" s="6">
        <v>1258.8046084700002</v>
      </c>
      <c r="E42" s="6">
        <v>662.77500817999999</v>
      </c>
      <c r="F42" s="6" t="s">
        <v>69</v>
      </c>
      <c r="G42" s="6" t="s">
        <v>69</v>
      </c>
      <c r="H42" s="6">
        <v>108.83799999999999</v>
      </c>
      <c r="I42" s="6">
        <v>47.728999999999999</v>
      </c>
      <c r="J42" s="6">
        <v>16.018000000000001</v>
      </c>
      <c r="K42" s="6">
        <v>51.383305020000002</v>
      </c>
      <c r="L42" s="6">
        <v>43.970999999999997</v>
      </c>
      <c r="M42" s="6">
        <v>0.23899999999999999</v>
      </c>
      <c r="N42" s="6">
        <v>417.58010324000003</v>
      </c>
      <c r="O42" s="6">
        <v>17.36093554</v>
      </c>
      <c r="P42" s="6" t="s">
        <v>69</v>
      </c>
      <c r="Q42" s="6" t="s">
        <v>69</v>
      </c>
      <c r="R42" s="6">
        <v>43.378999999999998</v>
      </c>
      <c r="S42" s="6">
        <v>2.1048915500000001</v>
      </c>
      <c r="T42" s="6">
        <v>231.81700000000001</v>
      </c>
      <c r="U42" s="6">
        <v>6.0170000000000003</v>
      </c>
      <c r="V42" s="6" t="s">
        <v>69</v>
      </c>
      <c r="W42" s="6">
        <v>0.435</v>
      </c>
      <c r="X42" s="6" t="s">
        <v>69</v>
      </c>
      <c r="Y42" s="6">
        <v>4.0760000000000005</v>
      </c>
      <c r="Z42" s="6">
        <v>1101</v>
      </c>
      <c r="AA42" s="6">
        <v>212.44499999999999</v>
      </c>
      <c r="AB42" s="6">
        <v>48.124000000000002</v>
      </c>
      <c r="AC42" s="6" t="s">
        <v>69</v>
      </c>
      <c r="AD42" s="6" t="s">
        <v>69</v>
      </c>
      <c r="AE42" s="6">
        <v>8.6829999999999998</v>
      </c>
    </row>
    <row r="43" spans="1:31" ht="15.75" x14ac:dyDescent="0.25">
      <c r="A43" s="28">
        <v>36069</v>
      </c>
      <c r="B43" s="6">
        <v>634.51003165999998</v>
      </c>
      <c r="C43" s="6">
        <v>40.844924919999997</v>
      </c>
      <c r="D43" s="6">
        <v>1202.0369428900001</v>
      </c>
      <c r="E43" s="6">
        <v>644.85354746999997</v>
      </c>
      <c r="F43" s="6" t="s">
        <v>69</v>
      </c>
      <c r="G43" s="6" t="s">
        <v>69</v>
      </c>
      <c r="H43" s="6">
        <v>112.881</v>
      </c>
      <c r="I43" s="6">
        <v>49.860999999999997</v>
      </c>
      <c r="J43" s="6">
        <v>16.327000000000002</v>
      </c>
      <c r="K43" s="6">
        <v>213.30698681999999</v>
      </c>
      <c r="L43" s="6">
        <v>42.683999999999997</v>
      </c>
      <c r="M43" s="6">
        <v>5.6000000000000001E-2</v>
      </c>
      <c r="N43" s="6">
        <v>432.62440491999996</v>
      </c>
      <c r="O43" s="6">
        <v>96.374359170000005</v>
      </c>
      <c r="P43" s="6" t="s">
        <v>69</v>
      </c>
      <c r="Q43" s="6">
        <v>25.626999999999999</v>
      </c>
      <c r="R43" s="6">
        <v>38.218000000000004</v>
      </c>
      <c r="S43" s="6">
        <v>0.19452356000000001</v>
      </c>
      <c r="T43" s="6">
        <v>225.554</v>
      </c>
      <c r="U43" s="6">
        <v>5.7009999999999996</v>
      </c>
      <c r="V43" s="6" t="s">
        <v>69</v>
      </c>
      <c r="W43" s="6">
        <v>0.59199999999999997</v>
      </c>
      <c r="X43" s="6" t="s">
        <v>69</v>
      </c>
      <c r="Y43" s="6">
        <v>4.1740000000000004</v>
      </c>
      <c r="Z43" s="6">
        <v>1123</v>
      </c>
      <c r="AA43" s="6">
        <v>207.59299999999999</v>
      </c>
      <c r="AB43" s="6">
        <v>46.765000000000001</v>
      </c>
      <c r="AC43" s="6">
        <v>15.349</v>
      </c>
      <c r="AD43" s="6" t="s">
        <v>69</v>
      </c>
      <c r="AE43" s="6">
        <v>8.0760000000000005</v>
      </c>
    </row>
    <row r="44" spans="1:31" ht="15.75" x14ac:dyDescent="0.25">
      <c r="A44" s="28">
        <v>36100</v>
      </c>
      <c r="B44" s="6">
        <v>660.41049802999999</v>
      </c>
      <c r="C44" s="6">
        <v>39.57093441</v>
      </c>
      <c r="D44" s="6">
        <v>1222.8871893</v>
      </c>
      <c r="E44" s="6">
        <v>599.75183818000005</v>
      </c>
      <c r="F44" s="6" t="s">
        <v>69</v>
      </c>
      <c r="G44" s="6" t="s">
        <v>69</v>
      </c>
      <c r="H44" s="6">
        <v>115.717</v>
      </c>
      <c r="I44" s="6">
        <v>43.277999999999999</v>
      </c>
      <c r="J44" s="6">
        <v>17.937999999999999</v>
      </c>
      <c r="K44" s="6">
        <v>59.768210009999997</v>
      </c>
      <c r="L44" s="6">
        <v>45.531999999999996</v>
      </c>
      <c r="M44" s="6">
        <v>8.2000000000000003E-2</v>
      </c>
      <c r="N44" s="6">
        <v>463.88742127</v>
      </c>
      <c r="O44" s="6">
        <v>18.62637707</v>
      </c>
      <c r="P44" s="6" t="s">
        <v>69</v>
      </c>
      <c r="Q44" s="6">
        <v>38.758000000000003</v>
      </c>
      <c r="R44" s="6">
        <v>38.36</v>
      </c>
      <c r="S44" s="6">
        <v>0.38964569999999998</v>
      </c>
      <c r="T44" s="6">
        <v>216.703</v>
      </c>
      <c r="U44" s="6">
        <v>5.4850000000000003</v>
      </c>
      <c r="V44" s="6" t="s">
        <v>69</v>
      </c>
      <c r="W44" s="6">
        <v>0.34599999999999997</v>
      </c>
      <c r="X44" s="6" t="s">
        <v>69</v>
      </c>
      <c r="Y44" s="6">
        <v>4.3499999999999996</v>
      </c>
      <c r="Z44" s="6">
        <v>1096.4000000000001</v>
      </c>
      <c r="AA44" s="6">
        <v>214.304</v>
      </c>
      <c r="AB44" s="6">
        <v>47.886000000000003</v>
      </c>
      <c r="AC44" s="6">
        <v>24.646000000000001</v>
      </c>
      <c r="AD44" s="6" t="s">
        <v>69</v>
      </c>
      <c r="AE44" s="6">
        <v>7.9969999999999999</v>
      </c>
    </row>
    <row r="45" spans="1:31" ht="15.75" x14ac:dyDescent="0.25">
      <c r="A45" s="28">
        <v>36130</v>
      </c>
      <c r="B45" s="6">
        <v>912.15529298999991</v>
      </c>
      <c r="C45" s="6">
        <v>38.289492619999997</v>
      </c>
      <c r="D45" s="6">
        <v>1212.8358273900001</v>
      </c>
      <c r="E45" s="6">
        <v>565.66734864</v>
      </c>
      <c r="F45" s="6" t="s">
        <v>69</v>
      </c>
      <c r="G45" s="6" t="s">
        <v>69</v>
      </c>
      <c r="H45" s="6">
        <v>111.468</v>
      </c>
      <c r="I45" s="6">
        <v>45.928999999999995</v>
      </c>
      <c r="J45" s="6">
        <v>16.148</v>
      </c>
      <c r="K45" s="6">
        <v>201.20181137</v>
      </c>
      <c r="L45" s="6">
        <v>39.527000000000001</v>
      </c>
      <c r="M45" s="6">
        <v>9.4E-2</v>
      </c>
      <c r="N45" s="6">
        <v>602.34315890999994</v>
      </c>
      <c r="O45" s="6">
        <v>123.4511151</v>
      </c>
      <c r="P45" s="6" t="s">
        <v>69</v>
      </c>
      <c r="Q45" s="6">
        <v>35.244999999999997</v>
      </c>
      <c r="R45" s="6">
        <v>99.384427685000006</v>
      </c>
      <c r="S45" s="6">
        <v>0.17382765</v>
      </c>
      <c r="T45" s="6">
        <v>215.489</v>
      </c>
      <c r="U45" s="6">
        <v>5.0149999999999997</v>
      </c>
      <c r="V45" s="6" t="s">
        <v>69</v>
      </c>
      <c r="W45" s="6">
        <v>0.29699999999999999</v>
      </c>
      <c r="X45" s="6" t="s">
        <v>69</v>
      </c>
      <c r="Y45" s="6">
        <v>2.56</v>
      </c>
      <c r="Z45" s="6">
        <v>1099.5999999999999</v>
      </c>
      <c r="AA45" s="6">
        <v>208.47399999999999</v>
      </c>
      <c r="AB45" s="6">
        <v>46.304000000000002</v>
      </c>
      <c r="AC45" s="6">
        <v>22.161999999999999</v>
      </c>
      <c r="AD45" s="6" t="s">
        <v>69</v>
      </c>
      <c r="AE45" s="6">
        <v>7.2880000000000003</v>
      </c>
    </row>
    <row r="46" spans="1:31" ht="15.75" x14ac:dyDescent="0.25">
      <c r="A46" s="28">
        <v>36161</v>
      </c>
      <c r="B46" s="6">
        <v>688.87524488999998</v>
      </c>
      <c r="C46" s="6">
        <v>32.222165169999997</v>
      </c>
      <c r="D46" s="6">
        <v>1388.96235802</v>
      </c>
      <c r="E46" s="6">
        <v>475.17706946999999</v>
      </c>
      <c r="F46" s="6" t="s">
        <v>69</v>
      </c>
      <c r="G46" s="6" t="s">
        <v>69</v>
      </c>
      <c r="H46" s="6">
        <v>134.28100000000001</v>
      </c>
      <c r="I46" s="6">
        <v>50.215000000000003</v>
      </c>
      <c r="J46" s="6">
        <v>14.584</v>
      </c>
      <c r="K46" s="6">
        <v>203.73347430000001</v>
      </c>
      <c r="L46" s="6">
        <v>30.786999999999999</v>
      </c>
      <c r="M46" s="6">
        <v>-8.0000000000000002E-3</v>
      </c>
      <c r="N46" s="6">
        <v>280.1366635</v>
      </c>
      <c r="O46" s="6">
        <v>8.3731950899999994</v>
      </c>
      <c r="P46" s="6" t="s">
        <v>69</v>
      </c>
      <c r="Q46" s="6">
        <v>33.246000000000002</v>
      </c>
      <c r="R46" s="6">
        <v>37.317</v>
      </c>
      <c r="S46" s="6">
        <v>6.7394679999999998E-2</v>
      </c>
      <c r="T46" s="6">
        <v>185.26400000000001</v>
      </c>
      <c r="U46" s="6">
        <v>4.4279999999999999</v>
      </c>
      <c r="V46" s="6" t="s">
        <v>69</v>
      </c>
      <c r="W46" s="6">
        <v>0.378</v>
      </c>
      <c r="X46" s="6" t="s">
        <v>69</v>
      </c>
      <c r="Y46" s="6">
        <v>4.4550000000000001</v>
      </c>
      <c r="Z46" s="6">
        <v>1619.3</v>
      </c>
      <c r="AA46" s="6">
        <v>316.036</v>
      </c>
      <c r="AB46" s="6">
        <v>60.933</v>
      </c>
      <c r="AC46" s="6">
        <v>22.983000000000001</v>
      </c>
      <c r="AD46" s="6" t="s">
        <v>69</v>
      </c>
      <c r="AE46" s="6">
        <v>6.5119999999999996</v>
      </c>
    </row>
    <row r="47" spans="1:31" ht="15.75" x14ac:dyDescent="0.25">
      <c r="A47" s="28">
        <v>36192</v>
      </c>
      <c r="B47" s="6">
        <v>621.74176616</v>
      </c>
      <c r="C47" s="6">
        <v>28.70763294</v>
      </c>
      <c r="D47" s="6">
        <v>1212.0155563799999</v>
      </c>
      <c r="E47" s="6">
        <v>438.32886350000001</v>
      </c>
      <c r="F47" s="6">
        <v>95.490163179999996</v>
      </c>
      <c r="G47" s="6" t="s">
        <v>69</v>
      </c>
      <c r="H47" s="6">
        <v>107.065</v>
      </c>
      <c r="I47" s="6">
        <v>39.719000000000001</v>
      </c>
      <c r="J47" s="6">
        <v>15.179</v>
      </c>
      <c r="K47" s="6">
        <v>154.04021256999999</v>
      </c>
      <c r="L47" s="6">
        <v>30.31</v>
      </c>
      <c r="M47" s="6">
        <v>0.17299999999999999</v>
      </c>
      <c r="N47" s="6">
        <v>424.69548157999998</v>
      </c>
      <c r="O47" s="6">
        <v>4.1429105599999998</v>
      </c>
      <c r="P47" s="6" t="s">
        <v>69</v>
      </c>
      <c r="Q47" s="6">
        <v>32.512999999999998</v>
      </c>
      <c r="R47" s="6">
        <v>81.692000000000007</v>
      </c>
      <c r="S47" s="6">
        <v>0.21361881999999999</v>
      </c>
      <c r="T47" s="6">
        <v>159.548</v>
      </c>
      <c r="U47" s="6">
        <v>5.8209999999999997</v>
      </c>
      <c r="V47" s="6" t="s">
        <v>69</v>
      </c>
      <c r="W47" s="6">
        <v>0.27200000000000002</v>
      </c>
      <c r="X47" s="6" t="s">
        <v>69</v>
      </c>
      <c r="Y47" s="6">
        <v>2.3330000000000002</v>
      </c>
      <c r="Z47" s="6">
        <v>1090.8</v>
      </c>
      <c r="AA47" s="6">
        <v>222.08699999999999</v>
      </c>
      <c r="AB47" s="6">
        <v>48.298999999999999</v>
      </c>
      <c r="AC47" s="6">
        <v>24.849</v>
      </c>
      <c r="AD47" s="6" t="s">
        <v>69</v>
      </c>
      <c r="AE47" s="6">
        <v>7.0129999999999999</v>
      </c>
    </row>
    <row r="48" spans="1:31" ht="15.75" x14ac:dyDescent="0.25">
      <c r="A48" s="28">
        <v>36220</v>
      </c>
      <c r="B48" s="6">
        <v>613.91106216999992</v>
      </c>
      <c r="C48" s="6">
        <v>36.838138389999997</v>
      </c>
      <c r="D48" s="6">
        <v>1202.9316541000001</v>
      </c>
      <c r="E48" s="6">
        <v>558.92307116000006</v>
      </c>
      <c r="F48" s="6">
        <v>100.97462728000001</v>
      </c>
      <c r="G48" s="6" t="s">
        <v>69</v>
      </c>
      <c r="H48" s="6">
        <v>109.81399999999999</v>
      </c>
      <c r="I48" s="6">
        <v>41.86</v>
      </c>
      <c r="J48" s="6">
        <v>19.948</v>
      </c>
      <c r="K48" s="6">
        <v>85.615100819999995</v>
      </c>
      <c r="L48" s="6">
        <v>44.531999999999996</v>
      </c>
      <c r="M48" s="6" t="s">
        <v>69</v>
      </c>
      <c r="N48" s="6">
        <v>335.87622705999996</v>
      </c>
      <c r="O48" s="6">
        <v>5.4491122599999997</v>
      </c>
      <c r="P48" s="6" t="s">
        <v>69</v>
      </c>
      <c r="Q48" s="6">
        <v>35.578000000000003</v>
      </c>
      <c r="R48" s="6">
        <v>106.76399999999998</v>
      </c>
      <c r="S48" s="6">
        <v>2.6378600400000001</v>
      </c>
      <c r="T48" s="6">
        <v>198.29300000000001</v>
      </c>
      <c r="U48" s="6">
        <v>4.8970000000000002</v>
      </c>
      <c r="V48" s="6" t="s">
        <v>69</v>
      </c>
      <c r="W48" s="6">
        <v>0.26400000000000001</v>
      </c>
      <c r="X48" s="6" t="s">
        <v>69</v>
      </c>
      <c r="Y48" s="6">
        <v>2.09</v>
      </c>
      <c r="Z48" s="6">
        <v>1074.5999999999999</v>
      </c>
      <c r="AA48" s="6">
        <v>215.85599999999999</v>
      </c>
      <c r="AB48" s="6">
        <v>48.895000000000003</v>
      </c>
      <c r="AC48" s="6">
        <v>24.928999999999998</v>
      </c>
      <c r="AD48" s="6" t="s">
        <v>69</v>
      </c>
      <c r="AE48" s="6">
        <v>6.9489999999999998</v>
      </c>
    </row>
    <row r="49" spans="1:31" ht="15.75" x14ac:dyDescent="0.25">
      <c r="A49" s="28">
        <v>36251</v>
      </c>
      <c r="B49" s="6">
        <v>650.90383091000001</v>
      </c>
      <c r="C49" s="6">
        <v>30.986143469999998</v>
      </c>
      <c r="D49" s="6">
        <v>1251.9255636</v>
      </c>
      <c r="E49" s="6">
        <v>528.85808047</v>
      </c>
      <c r="F49" s="6">
        <v>104.75293496</v>
      </c>
      <c r="G49" s="6" t="s">
        <v>69</v>
      </c>
      <c r="H49" s="6">
        <v>100.279</v>
      </c>
      <c r="I49" s="6">
        <v>49.644999999999996</v>
      </c>
      <c r="J49" s="6">
        <v>16.044</v>
      </c>
      <c r="K49" s="6">
        <v>257.90032797999999</v>
      </c>
      <c r="L49" s="6">
        <v>53.905000000000001</v>
      </c>
      <c r="M49" s="6" t="s">
        <v>69</v>
      </c>
      <c r="N49" s="6">
        <v>420.28706419000002</v>
      </c>
      <c r="O49" s="6">
        <v>57.378754610000001</v>
      </c>
      <c r="P49" s="6" t="s">
        <v>69</v>
      </c>
      <c r="Q49" s="6">
        <v>32.122999999999998</v>
      </c>
      <c r="R49" s="6">
        <v>108.61500000000001</v>
      </c>
      <c r="S49" s="6">
        <v>2.9760081500000002</v>
      </c>
      <c r="T49" s="6">
        <v>173.37100000000001</v>
      </c>
      <c r="U49" s="6">
        <v>4.2060000000000004</v>
      </c>
      <c r="V49" s="6" t="s">
        <v>69</v>
      </c>
      <c r="W49" s="6">
        <v>0.26500000000000001</v>
      </c>
      <c r="X49" s="6" t="s">
        <v>69</v>
      </c>
      <c r="Y49" s="6">
        <v>3.3210000000000002</v>
      </c>
      <c r="Z49" s="6">
        <v>1022.6</v>
      </c>
      <c r="AA49" s="6">
        <v>210.52600000000001</v>
      </c>
      <c r="AB49" s="6">
        <v>48.183999999999997</v>
      </c>
      <c r="AC49" s="6">
        <v>22.542000000000002</v>
      </c>
      <c r="AD49" s="6" t="s">
        <v>69</v>
      </c>
      <c r="AE49" s="6">
        <v>5.55</v>
      </c>
    </row>
    <row r="50" spans="1:31" ht="15.75" x14ac:dyDescent="0.25">
      <c r="A50" s="28">
        <v>36281</v>
      </c>
      <c r="B50" s="6">
        <v>1106.93645343</v>
      </c>
      <c r="C50" s="6">
        <v>31.51423509</v>
      </c>
      <c r="D50" s="6">
        <v>1198.13609797</v>
      </c>
      <c r="E50" s="6">
        <v>439.89705846999999</v>
      </c>
      <c r="F50" s="6">
        <v>82.268936940000003</v>
      </c>
      <c r="G50" s="6" t="s">
        <v>69</v>
      </c>
      <c r="H50" s="6">
        <v>105.313</v>
      </c>
      <c r="I50" s="6">
        <v>43.397999999999996</v>
      </c>
      <c r="J50" s="6">
        <v>16.335999999999999</v>
      </c>
      <c r="K50" s="6">
        <v>199.64944237</v>
      </c>
      <c r="L50" s="6">
        <v>49.052</v>
      </c>
      <c r="M50" s="6">
        <v>5.8000000000000003E-2</v>
      </c>
      <c r="N50" s="6">
        <v>465.28180034000002</v>
      </c>
      <c r="O50" s="6">
        <v>58.440684920000002</v>
      </c>
      <c r="P50" s="6" t="s">
        <v>69</v>
      </c>
      <c r="Q50" s="6">
        <v>31.9</v>
      </c>
      <c r="R50" s="6">
        <v>111.79</v>
      </c>
      <c r="S50" s="6">
        <v>5.4923151299999997</v>
      </c>
      <c r="T50" s="6">
        <v>162.5</v>
      </c>
      <c r="U50" s="6">
        <v>3.996</v>
      </c>
      <c r="V50" s="6" t="s">
        <v>69</v>
      </c>
      <c r="W50" s="6">
        <v>0.308</v>
      </c>
      <c r="X50" s="6" t="s">
        <v>69</v>
      </c>
      <c r="Y50" s="6">
        <v>3.8140000000000001</v>
      </c>
      <c r="Z50" s="6">
        <v>1000</v>
      </c>
      <c r="AA50" s="6">
        <v>209.33799999999999</v>
      </c>
      <c r="AB50" s="6">
        <v>47.167999999999999</v>
      </c>
      <c r="AC50" s="6">
        <v>22.536000000000001</v>
      </c>
      <c r="AD50" s="6" t="s">
        <v>69</v>
      </c>
      <c r="AE50" s="6">
        <v>5.0119999999999996</v>
      </c>
    </row>
    <row r="51" spans="1:31" ht="15.75" x14ac:dyDescent="0.25">
      <c r="A51" s="28">
        <v>36312</v>
      </c>
      <c r="B51" s="6">
        <v>766.09240047000003</v>
      </c>
      <c r="C51" s="6">
        <v>35.262562799999998</v>
      </c>
      <c r="D51" s="6">
        <v>1129.6421139700001</v>
      </c>
      <c r="E51" s="6">
        <v>530.45630097000003</v>
      </c>
      <c r="F51" s="6">
        <v>50.824376940000001</v>
      </c>
      <c r="G51" s="6" t="s">
        <v>69</v>
      </c>
      <c r="H51" s="6">
        <v>110.04</v>
      </c>
      <c r="I51" s="6">
        <v>40.408999999999999</v>
      </c>
      <c r="J51" s="6">
        <v>15.289</v>
      </c>
      <c r="K51" s="6">
        <v>59.203116870000002</v>
      </c>
      <c r="L51" s="6">
        <v>48.204000000000001</v>
      </c>
      <c r="M51" s="6">
        <v>0.26500000000000001</v>
      </c>
      <c r="N51" s="6">
        <v>403.07856263999997</v>
      </c>
      <c r="O51" s="6">
        <v>89.83598843</v>
      </c>
      <c r="P51" s="6" t="s">
        <v>69</v>
      </c>
      <c r="Q51" s="6">
        <v>30.036000000000001</v>
      </c>
      <c r="R51" s="6">
        <v>347.66899999999998</v>
      </c>
      <c r="S51" s="6">
        <v>5.2615034100000004</v>
      </c>
      <c r="T51" s="6">
        <v>181.22900000000001</v>
      </c>
      <c r="U51" s="6">
        <v>3.5169999999999999</v>
      </c>
      <c r="V51" s="6" t="s">
        <v>69</v>
      </c>
      <c r="W51" s="6">
        <v>0.33200000000000002</v>
      </c>
      <c r="X51" s="6" t="s">
        <v>69</v>
      </c>
      <c r="Y51" s="6">
        <v>2.1419999999999999</v>
      </c>
      <c r="Z51" s="6">
        <v>994</v>
      </c>
      <c r="AA51" s="6">
        <v>207.48</v>
      </c>
      <c r="AB51" s="6">
        <v>46.982999999999997</v>
      </c>
      <c r="AC51" s="6">
        <v>21.376999999999999</v>
      </c>
      <c r="AD51" s="6" t="s">
        <v>69</v>
      </c>
      <c r="AE51" s="6">
        <v>3.2469999999999999</v>
      </c>
    </row>
    <row r="52" spans="1:31" ht="15.75" x14ac:dyDescent="0.25">
      <c r="A52" s="28">
        <v>36342</v>
      </c>
      <c r="B52" s="6">
        <v>719.56331122999995</v>
      </c>
      <c r="C52" s="6">
        <v>34.292813610000003</v>
      </c>
      <c r="D52" s="6">
        <v>1167.48219137</v>
      </c>
      <c r="E52" s="6">
        <v>555.25120457000003</v>
      </c>
      <c r="F52" s="6">
        <v>49.985487470000002</v>
      </c>
      <c r="G52" s="6" t="s">
        <v>69</v>
      </c>
      <c r="H52" s="6">
        <v>101.492</v>
      </c>
      <c r="I52" s="6">
        <v>48.396999999999998</v>
      </c>
      <c r="J52" s="6">
        <v>17.010000000000002</v>
      </c>
      <c r="K52" s="6">
        <v>272.23248115000001</v>
      </c>
      <c r="L52" s="6">
        <v>41.045999999999999</v>
      </c>
      <c r="M52" s="6">
        <v>0.219</v>
      </c>
      <c r="N52" s="6">
        <v>418.60693875999999</v>
      </c>
      <c r="O52" s="6">
        <v>18.087029340000001</v>
      </c>
      <c r="P52" s="6" t="s">
        <v>69</v>
      </c>
      <c r="Q52" s="6">
        <v>32.651000000000003</v>
      </c>
      <c r="R52" s="6">
        <v>128.38499999999999</v>
      </c>
      <c r="S52" s="6">
        <v>2.8436313900000001</v>
      </c>
      <c r="T52" s="6">
        <v>198.60900000000001</v>
      </c>
      <c r="U52" s="6">
        <v>3.73</v>
      </c>
      <c r="V52" s="6" t="s">
        <v>69</v>
      </c>
      <c r="W52" s="6">
        <v>0.41099999999999998</v>
      </c>
      <c r="X52" s="6" t="s">
        <v>69</v>
      </c>
      <c r="Y52" s="6">
        <v>1.4769999999999999</v>
      </c>
      <c r="Z52" s="6">
        <v>1444.1</v>
      </c>
      <c r="AA52" s="6">
        <v>297.49799999999999</v>
      </c>
      <c r="AB52" s="6">
        <v>58.423999999999999</v>
      </c>
      <c r="AC52" s="6">
        <v>23.344999999999999</v>
      </c>
      <c r="AD52" s="6" t="s">
        <v>69</v>
      </c>
      <c r="AE52" s="6">
        <v>2.3879999999999999</v>
      </c>
    </row>
    <row r="53" spans="1:31" ht="15.75" x14ac:dyDescent="0.25">
      <c r="A53" s="28">
        <v>36373</v>
      </c>
      <c r="B53" s="6">
        <v>760.69662083000003</v>
      </c>
      <c r="C53" s="6">
        <v>34.504491119999997</v>
      </c>
      <c r="D53" s="6">
        <v>1160.6151447300001</v>
      </c>
      <c r="E53" s="6">
        <v>555.32134701000007</v>
      </c>
      <c r="F53" s="6">
        <v>52.554010030000001</v>
      </c>
      <c r="G53" s="6" t="s">
        <v>69</v>
      </c>
      <c r="H53" s="6">
        <v>112.727</v>
      </c>
      <c r="I53" s="6">
        <v>42.730999999999995</v>
      </c>
      <c r="J53" s="6">
        <v>15.596</v>
      </c>
      <c r="K53" s="6">
        <v>111.33766643999999</v>
      </c>
      <c r="L53" s="6">
        <v>50.951000000000001</v>
      </c>
      <c r="M53" s="6">
        <v>4.0000000000000001E-3</v>
      </c>
      <c r="N53" s="6">
        <v>407.28574033999996</v>
      </c>
      <c r="O53" s="6">
        <v>88.539869749999994</v>
      </c>
      <c r="P53" s="6" t="s">
        <v>69</v>
      </c>
      <c r="Q53" s="6">
        <v>31.853999999999999</v>
      </c>
      <c r="R53" s="6">
        <v>116.18299999999999</v>
      </c>
      <c r="S53" s="6">
        <v>2.7161349800000001</v>
      </c>
      <c r="T53" s="6">
        <v>190.20500000000001</v>
      </c>
      <c r="U53" s="6">
        <v>3.91</v>
      </c>
      <c r="V53" s="6" t="s">
        <v>69</v>
      </c>
      <c r="W53" s="6">
        <v>0.31900000000000001</v>
      </c>
      <c r="X53" s="6" t="s">
        <v>69</v>
      </c>
      <c r="Y53" s="6">
        <v>2.0630000000000002</v>
      </c>
      <c r="Z53" s="6">
        <v>1007.8</v>
      </c>
      <c r="AA53" s="6">
        <v>208.84899999999999</v>
      </c>
      <c r="AB53" s="6">
        <v>49.725000000000001</v>
      </c>
      <c r="AC53" s="6">
        <v>22.808</v>
      </c>
      <c r="AD53" s="6" t="s">
        <v>69</v>
      </c>
      <c r="AE53" s="6">
        <v>2.2589999999999999</v>
      </c>
    </row>
    <row r="54" spans="1:31" ht="15.75" x14ac:dyDescent="0.25">
      <c r="A54" s="28">
        <v>36404</v>
      </c>
      <c r="B54" s="6">
        <v>663.39016810999999</v>
      </c>
      <c r="C54" s="6">
        <v>37.727636109999999</v>
      </c>
      <c r="D54" s="6">
        <v>1177.2183819899999</v>
      </c>
      <c r="E54" s="6">
        <v>566.45198720000008</v>
      </c>
      <c r="F54" s="6">
        <v>50.905508449999999</v>
      </c>
      <c r="G54" s="6" t="s">
        <v>69</v>
      </c>
      <c r="H54" s="6">
        <v>110.29600000000001</v>
      </c>
      <c r="I54" s="6">
        <v>34.652000000000001</v>
      </c>
      <c r="J54" s="6">
        <v>12.955</v>
      </c>
      <c r="K54" s="6">
        <v>92.135160639999995</v>
      </c>
      <c r="L54" s="6">
        <v>48.13</v>
      </c>
      <c r="M54" s="6">
        <v>0.85499999999999998</v>
      </c>
      <c r="N54" s="6">
        <v>413.46748159000003</v>
      </c>
      <c r="O54" s="6">
        <v>14.0448957</v>
      </c>
      <c r="P54" s="6" t="s">
        <v>69</v>
      </c>
      <c r="Q54" s="6">
        <v>32.265000000000001</v>
      </c>
      <c r="R54" s="6">
        <v>117.11699999999999</v>
      </c>
      <c r="S54" s="6">
        <v>2.3378180400000002</v>
      </c>
      <c r="T54" s="6">
        <v>184.977</v>
      </c>
      <c r="U54" s="6">
        <v>3.585</v>
      </c>
      <c r="V54" s="6" t="s">
        <v>69</v>
      </c>
      <c r="W54" s="6">
        <v>0.45</v>
      </c>
      <c r="X54" s="6" t="s">
        <v>69</v>
      </c>
      <c r="Y54" s="6">
        <v>9.1870000000000012</v>
      </c>
      <c r="Z54" s="6">
        <v>992.9</v>
      </c>
      <c r="AA54" s="6">
        <v>207.08600000000001</v>
      </c>
      <c r="AB54" s="6">
        <v>49.23</v>
      </c>
      <c r="AC54" s="6">
        <v>23.244</v>
      </c>
      <c r="AD54" s="6" t="s">
        <v>69</v>
      </c>
      <c r="AE54" s="6">
        <v>2.1890000000000001</v>
      </c>
    </row>
    <row r="55" spans="1:31" ht="15.75" x14ac:dyDescent="0.25">
      <c r="A55" s="28">
        <v>36434</v>
      </c>
      <c r="B55" s="6">
        <v>728.89964412999984</v>
      </c>
      <c r="C55" s="6">
        <v>35.872896570000002</v>
      </c>
      <c r="D55" s="6">
        <v>1179.22031049</v>
      </c>
      <c r="E55" s="6">
        <v>560.39005449000001</v>
      </c>
      <c r="F55" s="6">
        <v>52.032050900000002</v>
      </c>
      <c r="G55" s="6" t="s">
        <v>69</v>
      </c>
      <c r="H55" s="6">
        <v>104.67</v>
      </c>
      <c r="I55" s="6">
        <v>35.768999999999998</v>
      </c>
      <c r="J55" s="6">
        <v>20.791</v>
      </c>
      <c r="K55" s="6">
        <v>162.28660780000001</v>
      </c>
      <c r="L55" s="6">
        <v>69.144000000000005</v>
      </c>
      <c r="M55" s="6">
        <v>1.4999999999999999E-2</v>
      </c>
      <c r="N55" s="6">
        <v>406.78866049999999</v>
      </c>
      <c r="O55" s="6">
        <v>96.809563929999996</v>
      </c>
      <c r="P55" s="6" t="s">
        <v>69</v>
      </c>
      <c r="Q55" s="6">
        <v>30.382999999999999</v>
      </c>
      <c r="R55" s="6">
        <v>104.721</v>
      </c>
      <c r="S55" s="6">
        <v>0.25645896000000001</v>
      </c>
      <c r="T55" s="6">
        <v>185.45599999999999</v>
      </c>
      <c r="U55" s="6">
        <v>4.1539999999999999</v>
      </c>
      <c r="V55" s="6" t="s">
        <v>69</v>
      </c>
      <c r="W55" s="6">
        <v>0.32600000000000001</v>
      </c>
      <c r="X55" s="6" t="s">
        <v>69</v>
      </c>
      <c r="Y55" s="6">
        <v>3.0270000000000001</v>
      </c>
      <c r="Z55" s="6">
        <v>907.6</v>
      </c>
      <c r="AA55" s="6">
        <v>202.62200000000001</v>
      </c>
      <c r="AB55" s="6">
        <v>48.811999999999998</v>
      </c>
      <c r="AC55" s="6">
        <v>21.984999999999999</v>
      </c>
      <c r="AD55" s="6" t="s">
        <v>69</v>
      </c>
      <c r="AE55" s="6">
        <v>2.262</v>
      </c>
    </row>
    <row r="56" spans="1:31" ht="15.75" x14ac:dyDescent="0.25">
      <c r="A56" s="28">
        <v>36465</v>
      </c>
      <c r="B56" s="6">
        <v>805.96272991000001</v>
      </c>
      <c r="C56" s="6">
        <v>39.973754649999997</v>
      </c>
      <c r="D56" s="6">
        <v>1121.14963685</v>
      </c>
      <c r="E56" s="6">
        <v>587.22548970000003</v>
      </c>
      <c r="F56" s="6">
        <v>50.170705769999998</v>
      </c>
      <c r="G56" s="6" t="s">
        <v>69</v>
      </c>
      <c r="H56" s="6">
        <v>116.56100000000001</v>
      </c>
      <c r="I56" s="6">
        <v>39.084000000000003</v>
      </c>
      <c r="J56" s="6">
        <v>17.071000000000002</v>
      </c>
      <c r="K56" s="6">
        <v>96.796550379999999</v>
      </c>
      <c r="L56" s="6">
        <v>52.56</v>
      </c>
      <c r="M56" s="6">
        <v>1.2999999999999999E-2</v>
      </c>
      <c r="N56" s="6">
        <v>412.01554956999996</v>
      </c>
      <c r="O56" s="6">
        <v>12.891826229999999</v>
      </c>
      <c r="P56" s="6" t="s">
        <v>69</v>
      </c>
      <c r="Q56" s="6">
        <v>32.203000000000003</v>
      </c>
      <c r="R56" s="6">
        <v>114.042</v>
      </c>
      <c r="S56" s="6">
        <v>0.13662688000000001</v>
      </c>
      <c r="T56" s="6">
        <v>209.33</v>
      </c>
      <c r="U56" s="6">
        <v>4.3620000000000001</v>
      </c>
      <c r="V56" s="6" t="s">
        <v>69</v>
      </c>
      <c r="W56" s="6">
        <v>0.18</v>
      </c>
      <c r="X56" s="6" t="s">
        <v>69</v>
      </c>
      <c r="Y56" s="6">
        <v>2.5260000000000002</v>
      </c>
      <c r="Z56" s="6">
        <v>1010.5</v>
      </c>
      <c r="AA56" s="6">
        <v>212.874</v>
      </c>
      <c r="AB56" s="6">
        <v>50.932000000000002</v>
      </c>
      <c r="AC56" s="6">
        <v>23.37</v>
      </c>
      <c r="AD56" s="6" t="s">
        <v>69</v>
      </c>
      <c r="AE56" s="6">
        <v>1.8680000000000001</v>
      </c>
    </row>
    <row r="57" spans="1:31" ht="15.75" x14ac:dyDescent="0.25">
      <c r="A57" s="28">
        <v>36495</v>
      </c>
      <c r="B57" s="6">
        <v>696.91663576999997</v>
      </c>
      <c r="C57" s="6">
        <v>38.175322139999999</v>
      </c>
      <c r="D57" s="6">
        <v>1184.47929469</v>
      </c>
      <c r="E57" s="6">
        <v>568.82367633000001</v>
      </c>
      <c r="F57" s="6">
        <v>49.758893679999993</v>
      </c>
      <c r="G57" s="6" t="s">
        <v>69</v>
      </c>
      <c r="H57" s="6">
        <v>115.48099999999999</v>
      </c>
      <c r="I57" s="6">
        <v>34.279000000000003</v>
      </c>
      <c r="J57" s="6">
        <v>17.935834035000102</v>
      </c>
      <c r="K57" s="6">
        <v>272.91618399999999</v>
      </c>
      <c r="L57" s="6">
        <v>53.87</v>
      </c>
      <c r="M57" s="6">
        <v>2.3E-2</v>
      </c>
      <c r="N57" s="6">
        <v>611.71940817999996</v>
      </c>
      <c r="O57" s="6">
        <v>91.538664449999999</v>
      </c>
      <c r="P57" s="6" t="s">
        <v>69</v>
      </c>
      <c r="Q57" s="6">
        <v>30.657</v>
      </c>
      <c r="R57" s="6">
        <v>113.098</v>
      </c>
      <c r="S57" s="6">
        <v>0.13959566000000001</v>
      </c>
      <c r="T57" s="6">
        <v>198.375</v>
      </c>
      <c r="U57" s="6">
        <v>3.9820000000000002</v>
      </c>
      <c r="V57" s="6" t="s">
        <v>69</v>
      </c>
      <c r="W57" s="6">
        <v>0.41199999999999998</v>
      </c>
      <c r="X57" s="6" t="s">
        <v>69</v>
      </c>
      <c r="Y57" s="6">
        <v>2.6680000000000001</v>
      </c>
      <c r="Z57" s="6">
        <v>970.3</v>
      </c>
      <c r="AA57" s="6">
        <v>212.76900000000001</v>
      </c>
      <c r="AB57" s="6">
        <v>49.259</v>
      </c>
      <c r="AC57" s="6">
        <v>22.291</v>
      </c>
      <c r="AD57" s="6" t="s">
        <v>69</v>
      </c>
      <c r="AE57" s="6">
        <v>1.177</v>
      </c>
    </row>
    <row r="58" spans="1:31" ht="15.75" x14ac:dyDescent="0.25">
      <c r="A58" s="28">
        <v>36526</v>
      </c>
      <c r="B58" s="6">
        <v>708.55099580000001</v>
      </c>
      <c r="C58" s="6">
        <v>31.0322745</v>
      </c>
      <c r="D58" s="6">
        <v>1302.64713039</v>
      </c>
      <c r="E58" s="6">
        <v>452.91553941000001</v>
      </c>
      <c r="F58" s="6">
        <v>48.328661369999999</v>
      </c>
      <c r="G58" s="6" t="s">
        <v>69</v>
      </c>
      <c r="H58" s="6">
        <v>163.50399999999999</v>
      </c>
      <c r="I58" s="6">
        <v>36.271000000000001</v>
      </c>
      <c r="J58" s="6">
        <v>31.047000000000001</v>
      </c>
      <c r="K58" s="6">
        <v>104.93442991000001</v>
      </c>
      <c r="L58" s="6">
        <v>34.375999999999998</v>
      </c>
      <c r="M58" s="6">
        <v>0</v>
      </c>
      <c r="N58" s="6">
        <v>276.97417252999998</v>
      </c>
      <c r="O58" s="6">
        <v>9.8937066799999993</v>
      </c>
      <c r="P58" s="6" t="s">
        <v>69</v>
      </c>
      <c r="Q58" s="6">
        <v>31.686</v>
      </c>
      <c r="R58" s="6">
        <v>109.241</v>
      </c>
      <c r="S58" s="6">
        <v>0.58412629999999999</v>
      </c>
      <c r="T58" s="6">
        <v>164.048</v>
      </c>
      <c r="U58" s="6">
        <v>3.2679999999999998</v>
      </c>
      <c r="V58" s="6" t="s">
        <v>69</v>
      </c>
      <c r="W58" s="6">
        <v>0.32300000000000001</v>
      </c>
      <c r="X58" s="6" t="s">
        <v>69</v>
      </c>
      <c r="Y58" s="6">
        <v>6.984</v>
      </c>
      <c r="Z58" s="6">
        <v>1404.7</v>
      </c>
      <c r="AA58" s="6">
        <v>313.529</v>
      </c>
      <c r="AB58" s="6">
        <v>61.552</v>
      </c>
      <c r="AC58" s="6">
        <v>23.077000000000002</v>
      </c>
      <c r="AD58" s="6" t="s">
        <v>69</v>
      </c>
      <c r="AE58" s="6">
        <v>0</v>
      </c>
    </row>
    <row r="59" spans="1:31" ht="15.75" x14ac:dyDescent="0.25">
      <c r="A59" s="28">
        <v>36557</v>
      </c>
      <c r="B59" s="6">
        <v>675.29578291000007</v>
      </c>
      <c r="C59" s="6">
        <v>31.453676489999999</v>
      </c>
      <c r="D59" s="6">
        <v>1101.57739173</v>
      </c>
      <c r="E59" s="6">
        <v>448.90276978000003</v>
      </c>
      <c r="F59" s="6">
        <v>50.46043126</v>
      </c>
      <c r="G59" s="6" t="s">
        <v>69</v>
      </c>
      <c r="H59" s="6">
        <v>62.445</v>
      </c>
      <c r="I59" s="6">
        <v>45.192999999999998</v>
      </c>
      <c r="J59" s="6">
        <v>49.27</v>
      </c>
      <c r="K59" s="6">
        <v>171.57478695000003</v>
      </c>
      <c r="L59" s="6">
        <v>42.38</v>
      </c>
      <c r="M59" s="6">
        <v>10</v>
      </c>
      <c r="N59" s="6">
        <v>415.19710972999997</v>
      </c>
      <c r="O59" s="6">
        <v>88.591603770000006</v>
      </c>
      <c r="P59" s="6" t="s">
        <v>69</v>
      </c>
      <c r="Q59" s="6">
        <v>30.204999999999998</v>
      </c>
      <c r="R59" s="6">
        <v>139.29499999999999</v>
      </c>
      <c r="S59" s="6">
        <v>0.17551207999999999</v>
      </c>
      <c r="T59" s="6">
        <v>153.88800000000001</v>
      </c>
      <c r="U59" s="6">
        <v>3.0179999999999998</v>
      </c>
      <c r="V59" s="6" t="s">
        <v>69</v>
      </c>
      <c r="W59" s="6">
        <v>0.219</v>
      </c>
      <c r="X59" s="6" t="s">
        <v>69</v>
      </c>
      <c r="Y59" s="6">
        <v>1.7469999999999999</v>
      </c>
      <c r="Z59" s="6">
        <v>1024.3</v>
      </c>
      <c r="AA59" s="6">
        <v>231.33500000000001</v>
      </c>
      <c r="AB59" s="6">
        <v>51.435000000000002</v>
      </c>
      <c r="AC59" s="6">
        <v>22.004000000000001</v>
      </c>
      <c r="AD59" s="6" t="s">
        <v>69</v>
      </c>
      <c r="AE59" s="6">
        <v>0</v>
      </c>
    </row>
    <row r="60" spans="1:31" ht="15.75" x14ac:dyDescent="0.25">
      <c r="A60" s="28">
        <v>36586</v>
      </c>
      <c r="B60" s="6">
        <v>659.29138224999997</v>
      </c>
      <c r="C60" s="6">
        <v>36.277277529999999</v>
      </c>
      <c r="D60" s="6">
        <v>1201.8558779099999</v>
      </c>
      <c r="E60" s="6">
        <v>511.85893209000005</v>
      </c>
      <c r="F60" s="6">
        <v>46.924793680000001</v>
      </c>
      <c r="G60" s="6" t="s">
        <v>69</v>
      </c>
      <c r="H60" s="6">
        <v>87.024000000000001</v>
      </c>
      <c r="I60" s="6">
        <v>53.293999999999997</v>
      </c>
      <c r="J60" s="6">
        <v>40.198</v>
      </c>
      <c r="K60" s="6">
        <v>98.373347539999997</v>
      </c>
      <c r="L60" s="6">
        <v>65.177999999999997</v>
      </c>
      <c r="M60" s="6">
        <v>85.3</v>
      </c>
      <c r="N60" s="6">
        <v>338.20020654000007</v>
      </c>
      <c r="O60" s="6">
        <v>10.61355041</v>
      </c>
      <c r="P60" s="6" t="s">
        <v>69</v>
      </c>
      <c r="Q60" s="6">
        <v>33.357999999999997</v>
      </c>
      <c r="R60" s="6">
        <v>140.523</v>
      </c>
      <c r="S60" s="6">
        <v>1.3102489399999999</v>
      </c>
      <c r="T60" s="6">
        <v>173.71299999999999</v>
      </c>
      <c r="U60" s="6">
        <v>3.4860000000000002</v>
      </c>
      <c r="V60" s="6" t="s">
        <v>69</v>
      </c>
      <c r="W60" s="6">
        <v>0.23200000000000001</v>
      </c>
      <c r="X60" s="6" t="s">
        <v>69</v>
      </c>
      <c r="Y60" s="6">
        <v>1.4969999999999999</v>
      </c>
      <c r="Z60" s="6">
        <v>1008.8</v>
      </c>
      <c r="AA60" s="6">
        <v>228.49199999999999</v>
      </c>
      <c r="AB60" s="6">
        <v>51.031999999999996</v>
      </c>
      <c r="AC60" s="6">
        <v>28.295999999999999</v>
      </c>
      <c r="AD60" s="6" t="s">
        <v>69</v>
      </c>
      <c r="AE60" s="6">
        <v>0</v>
      </c>
    </row>
    <row r="61" spans="1:31" ht="15.75" x14ac:dyDescent="0.25">
      <c r="A61" s="28">
        <v>36617</v>
      </c>
      <c r="B61" s="6">
        <v>743.36238960000003</v>
      </c>
      <c r="C61" s="6">
        <v>30.646821979999999</v>
      </c>
      <c r="D61" s="6">
        <v>1226.6804723600001</v>
      </c>
      <c r="E61" s="6">
        <v>453.66738561</v>
      </c>
      <c r="F61" s="6">
        <v>48.187196270000001</v>
      </c>
      <c r="G61" s="6" t="s">
        <v>69</v>
      </c>
      <c r="H61" s="6">
        <v>101.53100000000001</v>
      </c>
      <c r="I61" s="6">
        <v>49.53</v>
      </c>
      <c r="J61" s="6">
        <v>50.832000000000001</v>
      </c>
      <c r="K61" s="6">
        <v>120.74500565</v>
      </c>
      <c r="L61" s="6">
        <v>43.302</v>
      </c>
      <c r="M61" s="6">
        <v>0</v>
      </c>
      <c r="N61" s="6">
        <v>428.89495782</v>
      </c>
      <c r="O61" s="6">
        <v>78.958612689999995</v>
      </c>
      <c r="P61" s="6" t="s">
        <v>69</v>
      </c>
      <c r="Q61" s="6">
        <v>27.404</v>
      </c>
      <c r="R61" s="6">
        <v>146.739</v>
      </c>
      <c r="S61" s="6">
        <v>4.4042125399999996</v>
      </c>
      <c r="T61" s="6">
        <v>145.65600000000001</v>
      </c>
      <c r="U61" s="6">
        <v>2.9249999999999998</v>
      </c>
      <c r="V61" s="6" t="s">
        <v>69</v>
      </c>
      <c r="W61" s="6">
        <v>0.193</v>
      </c>
      <c r="X61" s="6" t="s">
        <v>69</v>
      </c>
      <c r="Y61" s="6">
        <v>9.2379999999999995</v>
      </c>
      <c r="Z61" s="6">
        <v>954.8</v>
      </c>
      <c r="AA61" s="6">
        <v>221.26400000000001</v>
      </c>
      <c r="AB61" s="6">
        <v>48.972999999999999</v>
      </c>
      <c r="AC61" s="6">
        <v>25.012</v>
      </c>
      <c r="AD61" s="6" t="s">
        <v>69</v>
      </c>
      <c r="AE61" s="6">
        <v>0</v>
      </c>
    </row>
    <row r="62" spans="1:31" ht="15.75" x14ac:dyDescent="0.25">
      <c r="A62" s="28">
        <v>36647</v>
      </c>
      <c r="B62" s="6">
        <v>1153.2644851799989</v>
      </c>
      <c r="C62" s="6">
        <v>35.941328490000004</v>
      </c>
      <c r="D62" s="6">
        <v>1148</v>
      </c>
      <c r="E62" s="6">
        <v>517.49</v>
      </c>
      <c r="F62" s="6">
        <v>55.27855581</v>
      </c>
      <c r="G62" s="6" t="s">
        <v>69</v>
      </c>
      <c r="H62" s="6">
        <v>87.515000000000001</v>
      </c>
      <c r="I62" s="6">
        <v>43.183999999999997</v>
      </c>
      <c r="J62" s="6">
        <v>57.177</v>
      </c>
      <c r="K62" s="6">
        <v>117.72</v>
      </c>
      <c r="L62" s="6">
        <v>52.378</v>
      </c>
      <c r="M62" s="6">
        <v>0</v>
      </c>
      <c r="N62" s="6">
        <v>369.45165538999998</v>
      </c>
      <c r="O62" s="6">
        <v>89.637525940000003</v>
      </c>
      <c r="P62" s="6" t="s">
        <v>69</v>
      </c>
      <c r="Q62" s="6">
        <v>30.593</v>
      </c>
      <c r="R62" s="6">
        <v>137.04499999999999</v>
      </c>
      <c r="S62" s="6">
        <v>11.96390373</v>
      </c>
      <c r="T62" s="6">
        <v>167.27799999999999</v>
      </c>
      <c r="U62" s="6">
        <v>3.302</v>
      </c>
      <c r="V62" s="6" t="s">
        <v>69</v>
      </c>
      <c r="W62" s="6">
        <v>0.185</v>
      </c>
      <c r="X62" s="6" t="s">
        <v>69</v>
      </c>
      <c r="Y62" s="6">
        <v>1.3239999999999998</v>
      </c>
      <c r="Z62" s="6">
        <v>1001.4</v>
      </c>
      <c r="AA62" s="6">
        <v>206.46799999999999</v>
      </c>
      <c r="AB62" s="6">
        <v>50.076999999999998</v>
      </c>
      <c r="AC62" s="6">
        <v>28.934999999999999</v>
      </c>
      <c r="AD62" s="6" t="s">
        <v>69</v>
      </c>
      <c r="AE62" s="6">
        <v>34.799999999999997</v>
      </c>
    </row>
    <row r="63" spans="1:31" ht="15.75" x14ac:dyDescent="0.25">
      <c r="A63" s="28">
        <v>36678</v>
      </c>
      <c r="B63" s="6">
        <v>1326.6120570400001</v>
      </c>
      <c r="C63" s="6">
        <v>34.950165479999995</v>
      </c>
      <c r="D63" s="6">
        <v>1257.2</v>
      </c>
      <c r="E63" s="6">
        <v>514</v>
      </c>
      <c r="F63" s="6">
        <v>48.411299769999999</v>
      </c>
      <c r="G63" s="6" t="s">
        <v>69</v>
      </c>
      <c r="H63" s="6">
        <v>91.32</v>
      </c>
      <c r="I63" s="6">
        <v>44.569000000000003</v>
      </c>
      <c r="J63" s="6">
        <v>47.572000000000003</v>
      </c>
      <c r="K63" s="6">
        <v>61.2</v>
      </c>
      <c r="L63" s="6">
        <v>50.183</v>
      </c>
      <c r="M63" s="6">
        <v>182.2</v>
      </c>
      <c r="N63" s="6">
        <v>419.08018355000002</v>
      </c>
      <c r="O63" s="6">
        <v>181.43691498999999</v>
      </c>
      <c r="P63" s="6" t="s">
        <v>69</v>
      </c>
      <c r="Q63" s="6">
        <v>29.63</v>
      </c>
      <c r="R63" s="6">
        <v>135.79400000000001</v>
      </c>
      <c r="S63" s="6">
        <v>5.5603076299999996</v>
      </c>
      <c r="T63" s="6">
        <v>164.00899999999999</v>
      </c>
      <c r="U63" s="6">
        <v>3.2010000000000001</v>
      </c>
      <c r="V63" s="6" t="s">
        <v>69</v>
      </c>
      <c r="W63" s="6">
        <v>0.29699999999999999</v>
      </c>
      <c r="X63" s="6" t="s">
        <v>69</v>
      </c>
      <c r="Y63" s="6">
        <v>1.948</v>
      </c>
      <c r="Z63" s="6">
        <v>1060.4000000000001</v>
      </c>
      <c r="AA63" s="6">
        <v>209.482</v>
      </c>
      <c r="AB63" s="6">
        <v>49.829000000000001</v>
      </c>
      <c r="AC63" s="6">
        <v>28.292000000000002</v>
      </c>
      <c r="AD63" s="6" t="s">
        <v>69</v>
      </c>
      <c r="AE63" s="6">
        <v>24.747999999999998</v>
      </c>
    </row>
    <row r="64" spans="1:31" ht="15.75" x14ac:dyDescent="0.25">
      <c r="A64" s="28">
        <v>36708</v>
      </c>
      <c r="B64" s="6">
        <v>768.13003450000008</v>
      </c>
      <c r="C64" s="6">
        <v>34.16476591</v>
      </c>
      <c r="D64" s="6">
        <v>1223.21895393</v>
      </c>
      <c r="E64" s="6">
        <v>528.92323680000004</v>
      </c>
      <c r="F64" s="6">
        <v>44.940106539999988</v>
      </c>
      <c r="G64" s="6" t="s">
        <v>69</v>
      </c>
      <c r="H64" s="6">
        <v>96.656000000000006</v>
      </c>
      <c r="I64" s="6">
        <v>50.616999999999997</v>
      </c>
      <c r="J64" s="6">
        <v>41.448</v>
      </c>
      <c r="K64" s="6">
        <v>121.81836306999999</v>
      </c>
      <c r="L64" s="6">
        <v>45.412999999999997</v>
      </c>
      <c r="M64" s="6">
        <v>3.5999999999999997E-2</v>
      </c>
      <c r="N64" s="6">
        <v>406.56082287999999</v>
      </c>
      <c r="O64" s="6">
        <v>42.796177059999998</v>
      </c>
      <c r="P64" s="6" t="s">
        <v>69</v>
      </c>
      <c r="Q64" s="6">
        <v>28.558</v>
      </c>
      <c r="R64" s="6">
        <v>123.17500000000001</v>
      </c>
      <c r="S64" s="6">
        <v>4.3200536400000003</v>
      </c>
      <c r="T64" s="6">
        <v>161.40100000000001</v>
      </c>
      <c r="U64" s="6">
        <v>3.05</v>
      </c>
      <c r="V64" s="6" t="s">
        <v>69</v>
      </c>
      <c r="W64" s="6">
        <v>0.378</v>
      </c>
      <c r="X64" s="6" t="s">
        <v>69</v>
      </c>
      <c r="Y64" s="6">
        <v>2.4630000000000001</v>
      </c>
      <c r="Z64" s="6">
        <v>1466.4</v>
      </c>
      <c r="AA64" s="6">
        <v>291.71499999999997</v>
      </c>
      <c r="AB64" s="6">
        <v>59.985999999999997</v>
      </c>
      <c r="AC64" s="6">
        <v>27.681000000000001</v>
      </c>
      <c r="AD64" s="6" t="s">
        <v>69</v>
      </c>
      <c r="AE64" s="6">
        <v>-40.451999999999998</v>
      </c>
    </row>
    <row r="65" spans="1:31" ht="15.75" x14ac:dyDescent="0.25">
      <c r="A65" s="28">
        <v>36739</v>
      </c>
      <c r="B65" s="6">
        <v>863.07728797000004</v>
      </c>
      <c r="C65" s="6">
        <v>37.279391400000002</v>
      </c>
      <c r="D65" s="6">
        <v>1244.3</v>
      </c>
      <c r="E65" s="6">
        <v>553.79999999999995</v>
      </c>
      <c r="F65" s="6">
        <v>47.56057569</v>
      </c>
      <c r="G65" s="6" t="s">
        <v>69</v>
      </c>
      <c r="H65" s="6">
        <v>102.027</v>
      </c>
      <c r="I65" s="6">
        <v>41.712000000000003</v>
      </c>
      <c r="J65" s="6">
        <v>39.396000000000001</v>
      </c>
      <c r="K65" s="6">
        <v>158.1</v>
      </c>
      <c r="L65" s="6">
        <v>52.966000000000001</v>
      </c>
      <c r="M65" s="6">
        <v>0</v>
      </c>
      <c r="N65" s="6">
        <v>423.55989137999995</v>
      </c>
      <c r="O65" s="6">
        <v>168.92251246999999</v>
      </c>
      <c r="P65" s="6" t="s">
        <v>69</v>
      </c>
      <c r="Q65" s="6">
        <v>29.114000000000001</v>
      </c>
      <c r="R65" s="6">
        <v>133.16499999999999</v>
      </c>
      <c r="S65" s="6">
        <v>1.5947077000000001</v>
      </c>
      <c r="T65" s="6">
        <v>169.36</v>
      </c>
      <c r="U65" s="6">
        <v>3.4729999999999999</v>
      </c>
      <c r="V65" s="6" t="s">
        <v>69</v>
      </c>
      <c r="W65" s="6">
        <v>0.26800000000000002</v>
      </c>
      <c r="X65" s="6" t="s">
        <v>69</v>
      </c>
      <c r="Y65" s="6">
        <v>10.395</v>
      </c>
      <c r="Z65" s="6">
        <v>1023.9</v>
      </c>
      <c r="AA65" s="6">
        <v>215.05</v>
      </c>
      <c r="AB65" s="6">
        <v>49.335999999999999</v>
      </c>
      <c r="AC65" s="6">
        <v>28.614999999999998</v>
      </c>
      <c r="AD65" s="6" t="s">
        <v>69</v>
      </c>
      <c r="AE65" s="6">
        <v>-2.6109999999999998</v>
      </c>
    </row>
    <row r="66" spans="1:31" ht="15.75" x14ac:dyDescent="0.25">
      <c r="A66" s="28">
        <v>36770</v>
      </c>
      <c r="B66" s="6">
        <v>697.63461117999998</v>
      </c>
      <c r="C66" s="6">
        <v>34.337007450000002</v>
      </c>
      <c r="D66" s="6">
        <v>1229.9000000000001</v>
      </c>
      <c r="E66" s="6">
        <v>497.2</v>
      </c>
      <c r="F66" s="6">
        <v>45.7</v>
      </c>
      <c r="G66" s="6" t="s">
        <v>69</v>
      </c>
      <c r="H66" s="6">
        <v>101.818</v>
      </c>
      <c r="I66" s="6">
        <v>37.308</v>
      </c>
      <c r="J66" s="6">
        <v>28.85</v>
      </c>
      <c r="K66" s="6">
        <v>60.2</v>
      </c>
      <c r="L66" s="6">
        <v>54.015999999999998</v>
      </c>
      <c r="M66" s="6">
        <v>0</v>
      </c>
      <c r="N66" s="6">
        <v>447.27649681000003</v>
      </c>
      <c r="O66" s="6">
        <v>36.6</v>
      </c>
      <c r="P66" s="6" t="s">
        <v>69</v>
      </c>
      <c r="Q66" s="6">
        <v>27.571999999999999</v>
      </c>
      <c r="R66" s="6">
        <v>128.43299999999999</v>
      </c>
      <c r="S66" s="6">
        <v>0.39302443999999997</v>
      </c>
      <c r="T66" s="6">
        <v>163.03299999999999</v>
      </c>
      <c r="U66" s="6">
        <v>2.9969999999999999</v>
      </c>
      <c r="V66" s="6" t="s">
        <v>69</v>
      </c>
      <c r="W66" s="6">
        <v>0.372</v>
      </c>
      <c r="X66" s="6" t="s">
        <v>69</v>
      </c>
      <c r="Y66" s="6">
        <v>2.5219999999999998</v>
      </c>
      <c r="Z66" s="6">
        <v>1009.9</v>
      </c>
      <c r="AA66" s="6">
        <v>201.501</v>
      </c>
      <c r="AB66" s="6">
        <v>47.496000000000002</v>
      </c>
      <c r="AC66" s="6">
        <v>27.2</v>
      </c>
      <c r="AD66" s="6" t="s">
        <v>69</v>
      </c>
      <c r="AE66" s="6">
        <v>-2.8810000000000002</v>
      </c>
    </row>
    <row r="67" spans="1:31" ht="15.75" x14ac:dyDescent="0.25">
      <c r="A67" s="28">
        <v>36800</v>
      </c>
      <c r="B67" s="6">
        <v>824.00981075000004</v>
      </c>
      <c r="C67" s="6">
        <v>36.4950853</v>
      </c>
      <c r="D67" s="6">
        <v>1156.5999999999999</v>
      </c>
      <c r="E67" s="6">
        <v>544.9</v>
      </c>
      <c r="F67" s="6">
        <v>49.2</v>
      </c>
      <c r="G67" s="6" t="s">
        <v>69</v>
      </c>
      <c r="H67" s="6">
        <v>125.395</v>
      </c>
      <c r="I67" s="6">
        <v>36.846999999999994</v>
      </c>
      <c r="J67" s="6">
        <v>56.198999999999998</v>
      </c>
      <c r="K67" s="6">
        <v>193.1</v>
      </c>
      <c r="L67" s="6">
        <v>49.451999999999998</v>
      </c>
      <c r="M67" s="6">
        <v>0</v>
      </c>
      <c r="N67" s="6">
        <v>383.72835784</v>
      </c>
      <c r="O67" s="6">
        <v>159.9</v>
      </c>
      <c r="P67" s="6" t="s">
        <v>69</v>
      </c>
      <c r="Q67" s="6">
        <v>28.079000000000001</v>
      </c>
      <c r="R67" s="6">
        <v>116.08499999999999</v>
      </c>
      <c r="S67" s="6">
        <v>0.44535403000000001</v>
      </c>
      <c r="T67" s="6">
        <v>169.16900000000001</v>
      </c>
      <c r="U67" s="6">
        <v>3.3769999999999998</v>
      </c>
      <c r="V67" s="6" t="s">
        <v>69</v>
      </c>
      <c r="W67" s="6">
        <v>0.25800000000000001</v>
      </c>
      <c r="X67" s="6" t="s">
        <v>69</v>
      </c>
      <c r="Y67" s="6">
        <v>2.1869999999999998</v>
      </c>
      <c r="Z67" s="6">
        <v>1015.1</v>
      </c>
      <c r="AA67" s="6">
        <v>203.12799999999999</v>
      </c>
      <c r="AB67" s="6">
        <v>48.826999999999998</v>
      </c>
      <c r="AC67" s="6">
        <v>27.591999999999999</v>
      </c>
      <c r="AD67" s="6" t="s">
        <v>69</v>
      </c>
      <c r="AE67" s="6">
        <v>-5.734</v>
      </c>
    </row>
    <row r="68" spans="1:31" ht="15.75" x14ac:dyDescent="0.25">
      <c r="A68" s="28">
        <v>36831</v>
      </c>
      <c r="B68" s="6">
        <v>783.15821579999999</v>
      </c>
      <c r="C68" s="6">
        <v>34.428026259999996</v>
      </c>
      <c r="D68" s="6">
        <v>1110</v>
      </c>
      <c r="E68" s="6">
        <v>531.29999999999995</v>
      </c>
      <c r="F68" s="6">
        <v>51.195835879999997</v>
      </c>
      <c r="G68" s="6" t="s">
        <v>69</v>
      </c>
      <c r="H68" s="6">
        <v>91.412000000000006</v>
      </c>
      <c r="I68" s="6">
        <v>38.180999999999997</v>
      </c>
      <c r="J68" s="6">
        <v>18.664000000000001</v>
      </c>
      <c r="K68" s="6">
        <v>83.4</v>
      </c>
      <c r="L68" s="6">
        <v>48.273000000000003</v>
      </c>
      <c r="M68" s="6">
        <v>0</v>
      </c>
      <c r="N68" s="6">
        <v>341.41560432999978</v>
      </c>
      <c r="O68" s="6">
        <v>12.39481149</v>
      </c>
      <c r="P68" s="6" t="s">
        <v>69</v>
      </c>
      <c r="Q68" s="6">
        <v>28.190999999999999</v>
      </c>
      <c r="R68" s="6">
        <v>116.10299999999999</v>
      </c>
      <c r="S68" s="6">
        <v>0.20640227</v>
      </c>
      <c r="T68" s="6">
        <v>166.70699999999999</v>
      </c>
      <c r="U68" s="6">
        <v>3.3580000000000001</v>
      </c>
      <c r="V68" s="6" t="s">
        <v>69</v>
      </c>
      <c r="W68" s="6">
        <v>0.28000000000000003</v>
      </c>
      <c r="X68" s="6" t="s">
        <v>69</v>
      </c>
      <c r="Y68" s="6">
        <v>2.319</v>
      </c>
      <c r="Z68" s="6">
        <v>945</v>
      </c>
      <c r="AA68" s="6">
        <v>199.72300000000001</v>
      </c>
      <c r="AB68" s="6">
        <v>48.972999999999999</v>
      </c>
      <c r="AC68" s="6">
        <v>29.495000000000001</v>
      </c>
      <c r="AD68" s="6" t="s">
        <v>69</v>
      </c>
      <c r="AE68" s="6">
        <v>141.446</v>
      </c>
    </row>
    <row r="69" spans="1:31" ht="15.75" x14ac:dyDescent="0.25">
      <c r="A69" s="28">
        <v>36861</v>
      </c>
      <c r="B69" s="6">
        <v>845.79511398</v>
      </c>
      <c r="C69" s="6">
        <v>29.956717279999999</v>
      </c>
      <c r="D69" s="6">
        <v>1221.3</v>
      </c>
      <c r="E69" s="6">
        <v>497</v>
      </c>
      <c r="F69" s="6">
        <v>63.967491780000003</v>
      </c>
      <c r="G69" s="6" t="s">
        <v>69</v>
      </c>
      <c r="H69" s="6">
        <v>108.571</v>
      </c>
      <c r="I69" s="6">
        <v>42.224000000000004</v>
      </c>
      <c r="J69" s="6">
        <v>26.602</v>
      </c>
      <c r="K69" s="6">
        <v>175.6</v>
      </c>
      <c r="L69" s="6">
        <v>44.414000000000001</v>
      </c>
      <c r="M69" s="6">
        <v>1.2999999999999999E-2</v>
      </c>
      <c r="N69" s="6">
        <v>552.46134774999996</v>
      </c>
      <c r="O69" s="6">
        <v>144.56633934999999</v>
      </c>
      <c r="P69" s="6" t="s">
        <v>69</v>
      </c>
      <c r="Q69" s="6">
        <v>29.163</v>
      </c>
      <c r="R69" s="6">
        <v>101.31</v>
      </c>
      <c r="S69" s="6">
        <v>1.1145900399999999</v>
      </c>
      <c r="T69" s="6">
        <v>139.577</v>
      </c>
      <c r="U69" s="6">
        <v>2.9569999999999999</v>
      </c>
      <c r="V69" s="6" t="s">
        <v>69</v>
      </c>
      <c r="W69" s="6">
        <v>0.21299999999999999</v>
      </c>
      <c r="X69" s="6" t="s">
        <v>69</v>
      </c>
      <c r="Y69" s="6">
        <v>4.4589999999999996</v>
      </c>
      <c r="Z69" s="6">
        <v>1004.6</v>
      </c>
      <c r="AA69" s="6">
        <v>201.06200000000001</v>
      </c>
      <c r="AB69" s="6">
        <v>47.179000000000002</v>
      </c>
      <c r="AC69" s="6">
        <v>25.411000000000001</v>
      </c>
      <c r="AD69" s="6" t="s">
        <v>69</v>
      </c>
      <c r="AE69" s="6">
        <v>-133.654</v>
      </c>
    </row>
    <row r="70" spans="1:31" ht="15.75" x14ac:dyDescent="0.25">
      <c r="A70" s="28">
        <v>36892</v>
      </c>
      <c r="B70" s="6">
        <v>776.03111450999995</v>
      </c>
      <c r="C70" s="6">
        <v>30.416837520000001</v>
      </c>
      <c r="D70" s="6">
        <v>1292.3894066299999</v>
      </c>
      <c r="E70" s="6">
        <v>460.87675271999996</v>
      </c>
      <c r="F70" s="6">
        <v>45.423033949999997</v>
      </c>
      <c r="G70" s="6" t="s">
        <v>69</v>
      </c>
      <c r="H70" s="6">
        <v>130.65899999999999</v>
      </c>
      <c r="I70" s="6">
        <v>51.015999999999998</v>
      </c>
      <c r="J70" s="6">
        <v>40.057000000000002</v>
      </c>
      <c r="K70" s="6">
        <v>122.63880741</v>
      </c>
      <c r="L70" s="6">
        <v>55.463999999999999</v>
      </c>
      <c r="M70" s="6">
        <v>-5.9999999999999995E-4</v>
      </c>
      <c r="N70" s="6">
        <v>264.46348304999998</v>
      </c>
      <c r="O70" s="6">
        <v>13.052383259999999</v>
      </c>
      <c r="P70" s="6" t="s">
        <v>69</v>
      </c>
      <c r="Q70" s="6">
        <v>30.824999999999999</v>
      </c>
      <c r="R70" s="6">
        <v>102.73629</v>
      </c>
      <c r="S70" s="6">
        <v>0.12675742000000001</v>
      </c>
      <c r="T70" s="6">
        <v>157.673</v>
      </c>
      <c r="U70" s="6">
        <v>3.2320000000000002</v>
      </c>
      <c r="V70" s="6" t="s">
        <v>69</v>
      </c>
      <c r="W70" s="6">
        <v>0.19700000000000001</v>
      </c>
      <c r="X70" s="6" t="s">
        <v>69</v>
      </c>
      <c r="Y70" s="6">
        <v>2.33</v>
      </c>
      <c r="Z70" s="6">
        <v>1392.9</v>
      </c>
      <c r="AA70" s="6">
        <v>299.76</v>
      </c>
      <c r="AB70" s="6">
        <v>62.777000000000001</v>
      </c>
      <c r="AC70" s="6">
        <v>30.562000000000001</v>
      </c>
      <c r="AD70" s="6" t="s">
        <v>69</v>
      </c>
      <c r="AE70" s="6">
        <v>107.018</v>
      </c>
    </row>
    <row r="71" spans="1:31" ht="15.75" x14ac:dyDescent="0.25">
      <c r="A71" s="28">
        <v>36923</v>
      </c>
      <c r="B71" s="6">
        <v>732.63757999999996</v>
      </c>
      <c r="C71" s="6">
        <v>26.528818269999999</v>
      </c>
      <c r="D71" s="6">
        <v>1094.54466361</v>
      </c>
      <c r="E71" s="6">
        <v>397.45483202000003</v>
      </c>
      <c r="F71" s="6">
        <v>55.019765529999994</v>
      </c>
      <c r="G71" s="6" t="s">
        <v>69</v>
      </c>
      <c r="H71" s="6">
        <v>156.80500000000001</v>
      </c>
      <c r="I71" s="6">
        <v>37.134999999999998</v>
      </c>
      <c r="J71" s="6">
        <v>23.574000000000002</v>
      </c>
      <c r="K71" s="6">
        <v>143.74342883</v>
      </c>
      <c r="L71" s="6">
        <v>49.576000000000001</v>
      </c>
      <c r="M71" s="6">
        <v>-3.7000000000000002E-3</v>
      </c>
      <c r="N71" s="6">
        <v>391.98095753000001</v>
      </c>
      <c r="O71" s="6">
        <v>134.65262088</v>
      </c>
      <c r="P71" s="6" t="s">
        <v>69</v>
      </c>
      <c r="Q71" s="6">
        <v>25.806000000000001</v>
      </c>
      <c r="R71" s="6">
        <v>90.622540000000015</v>
      </c>
      <c r="S71" s="6">
        <v>1.5577860000000001E-2</v>
      </c>
      <c r="T71" s="6">
        <v>132.03700000000001</v>
      </c>
      <c r="U71" s="6">
        <v>2.831</v>
      </c>
      <c r="V71" s="6" t="s">
        <v>69</v>
      </c>
      <c r="W71" s="6">
        <v>0.14099999999999999</v>
      </c>
      <c r="X71" s="8" t="s">
        <v>69</v>
      </c>
      <c r="Y71" s="6">
        <v>2.09</v>
      </c>
      <c r="Z71" s="6">
        <v>1018.4</v>
      </c>
      <c r="AA71" s="6">
        <v>202.72200000000001</v>
      </c>
      <c r="AB71" s="6">
        <v>50.543999999999997</v>
      </c>
      <c r="AC71" s="6">
        <v>25.605</v>
      </c>
      <c r="AD71" s="6" t="s">
        <v>69</v>
      </c>
      <c r="AE71" s="6">
        <v>83.781999999999996</v>
      </c>
    </row>
    <row r="72" spans="1:31" ht="15.75" x14ac:dyDescent="0.25">
      <c r="A72" s="28">
        <v>36951</v>
      </c>
      <c r="B72" s="6">
        <v>704.61305392000008</v>
      </c>
      <c r="C72" s="6">
        <v>30.377585100000001</v>
      </c>
      <c r="D72" s="6">
        <v>1127.7827769200001</v>
      </c>
      <c r="E72" s="6">
        <v>470.02229339999997</v>
      </c>
      <c r="F72" s="6">
        <v>52.677439900000003</v>
      </c>
      <c r="G72" s="6" t="s">
        <v>69</v>
      </c>
      <c r="H72" s="6">
        <v>88.872</v>
      </c>
      <c r="I72" s="6">
        <v>40.704999999999998</v>
      </c>
      <c r="J72" s="6">
        <v>22.600999999999999</v>
      </c>
      <c r="K72" s="6">
        <v>174.24027328</v>
      </c>
      <c r="L72" s="6">
        <v>59.308</v>
      </c>
      <c r="M72" s="6">
        <v>2E-3</v>
      </c>
      <c r="N72" s="6">
        <v>365.26115016000006</v>
      </c>
      <c r="O72" s="6">
        <v>21.03689323</v>
      </c>
      <c r="P72" s="6" t="s">
        <v>69</v>
      </c>
      <c r="Q72" s="6">
        <v>29.385999999999999</v>
      </c>
      <c r="R72" s="6">
        <v>80.938999999999993</v>
      </c>
      <c r="S72" s="6">
        <v>0.13580094000000001</v>
      </c>
      <c r="T72" s="6">
        <v>154.38800000000001</v>
      </c>
      <c r="U72" s="6">
        <v>3.6309999999999998</v>
      </c>
      <c r="V72" s="6" t="s">
        <v>69</v>
      </c>
      <c r="W72" s="6">
        <v>0.182</v>
      </c>
      <c r="X72" s="6" t="s">
        <v>69</v>
      </c>
      <c r="Y72" s="6">
        <v>1.891</v>
      </c>
      <c r="Z72" s="6">
        <v>1016.1</v>
      </c>
      <c r="AA72" s="6">
        <v>179.02099999999999</v>
      </c>
      <c r="AB72" s="6">
        <v>62.609000000000002</v>
      </c>
      <c r="AC72" s="6">
        <v>28.896999999999998</v>
      </c>
      <c r="AD72" s="6" t="s">
        <v>69</v>
      </c>
      <c r="AE72" s="6">
        <v>-193.18200000000002</v>
      </c>
    </row>
    <row r="73" spans="1:31" ht="15.75" x14ac:dyDescent="0.25">
      <c r="A73" s="28">
        <v>36982</v>
      </c>
      <c r="B73" s="6">
        <v>589.12484285000005</v>
      </c>
      <c r="C73" s="6">
        <v>28.705936980000001</v>
      </c>
      <c r="D73" s="6">
        <v>1073.1867191900001</v>
      </c>
      <c r="E73" s="6">
        <v>461.56937551999999</v>
      </c>
      <c r="F73" s="6">
        <v>47.280253660000007</v>
      </c>
      <c r="G73" s="6">
        <v>184.48426918000001</v>
      </c>
      <c r="H73" s="6">
        <v>92.902000000000001</v>
      </c>
      <c r="I73" s="6">
        <v>45.632999999999996</v>
      </c>
      <c r="J73" s="6">
        <v>17.46</v>
      </c>
      <c r="K73" s="6">
        <v>121.27259029000001</v>
      </c>
      <c r="L73" s="6">
        <v>41.902000000000001</v>
      </c>
      <c r="M73" s="6">
        <v>-3.0000000000000001E-3</v>
      </c>
      <c r="N73" s="6">
        <v>358.02215418999998</v>
      </c>
      <c r="O73" s="6">
        <v>51.27159082</v>
      </c>
      <c r="P73" s="6" t="s">
        <v>69</v>
      </c>
      <c r="Q73" s="6">
        <v>24.463999999999999</v>
      </c>
      <c r="R73" s="6">
        <v>71.231999999999999</v>
      </c>
      <c r="S73" s="6">
        <v>4.6938062399999998</v>
      </c>
      <c r="T73" s="6">
        <v>141.977</v>
      </c>
      <c r="U73" s="6">
        <v>3.1040000000000001</v>
      </c>
      <c r="V73" s="6" t="s">
        <v>69</v>
      </c>
      <c r="W73" s="6">
        <v>7.3999999999999996E-2</v>
      </c>
      <c r="X73" s="6" t="s">
        <v>69</v>
      </c>
      <c r="Y73" s="6">
        <v>2.3420000000000001</v>
      </c>
      <c r="Z73" s="6">
        <v>941.9</v>
      </c>
      <c r="AA73" s="6">
        <v>202.89699999999999</v>
      </c>
      <c r="AB73" s="6">
        <v>62.329000000000001</v>
      </c>
      <c r="AC73" s="6">
        <v>24.571000000000002</v>
      </c>
      <c r="AD73" s="6" t="s">
        <v>69</v>
      </c>
      <c r="AE73" s="6">
        <v>-3.222</v>
      </c>
    </row>
    <row r="74" spans="1:31" ht="15.75" x14ac:dyDescent="0.25">
      <c r="A74" s="28">
        <v>37012</v>
      </c>
      <c r="B74" s="6">
        <v>1517.3839117800001</v>
      </c>
      <c r="C74" s="6">
        <v>31.461432070000001</v>
      </c>
      <c r="D74" s="6">
        <v>1097.99365661</v>
      </c>
      <c r="E74" s="6">
        <v>471.75575280999999</v>
      </c>
      <c r="F74" s="6">
        <v>65.167249560000002</v>
      </c>
      <c r="G74" s="6">
        <v>300.15927235999999</v>
      </c>
      <c r="H74" s="6">
        <v>106.078</v>
      </c>
      <c r="I74" s="6">
        <v>36.893999999999998</v>
      </c>
      <c r="J74" s="6">
        <v>15.013999999999999</v>
      </c>
      <c r="K74" s="6">
        <v>186.89816386000001</v>
      </c>
      <c r="L74" s="6">
        <v>53.085999999999999</v>
      </c>
      <c r="M74" s="6">
        <v>-1E-3</v>
      </c>
      <c r="N74" s="6">
        <v>426.92002361000004</v>
      </c>
      <c r="O74" s="6">
        <v>60.37928076</v>
      </c>
      <c r="P74" s="6" t="s">
        <v>69</v>
      </c>
      <c r="Q74" s="6">
        <v>28.837</v>
      </c>
      <c r="R74" s="6">
        <v>82.584000000000003</v>
      </c>
      <c r="S74" s="6">
        <v>6.9888925799999999</v>
      </c>
      <c r="T74" s="6">
        <v>161.67400000000001</v>
      </c>
      <c r="U74" s="6">
        <v>3.3639999999999999</v>
      </c>
      <c r="V74" s="7" t="s">
        <v>69</v>
      </c>
      <c r="W74" s="6">
        <v>0.10100000000000001</v>
      </c>
      <c r="X74" s="6" t="s">
        <v>69</v>
      </c>
      <c r="Y74" s="6">
        <v>1.9119999999999999</v>
      </c>
      <c r="Z74" s="6">
        <v>974.7</v>
      </c>
      <c r="AA74" s="6">
        <v>197.81399999999999</v>
      </c>
      <c r="AB74" s="6">
        <v>66.849999999999994</v>
      </c>
      <c r="AC74" s="6">
        <v>29.064</v>
      </c>
      <c r="AD74" s="6" t="s">
        <v>69</v>
      </c>
      <c r="AE74" s="6">
        <v>6.3E-2</v>
      </c>
    </row>
    <row r="75" spans="1:31" ht="15.75" x14ac:dyDescent="0.25">
      <c r="A75" s="28">
        <v>37043</v>
      </c>
      <c r="B75" s="6">
        <v>1285.5864216499999</v>
      </c>
      <c r="C75" s="6">
        <v>28.928472769999999</v>
      </c>
      <c r="D75" s="6">
        <v>1086.3352241900002</v>
      </c>
      <c r="E75" s="6">
        <v>419.39618453000003</v>
      </c>
      <c r="F75" s="6">
        <v>47.518167410000004</v>
      </c>
      <c r="G75" s="6">
        <v>274.8</v>
      </c>
      <c r="H75" s="6">
        <v>246.23</v>
      </c>
      <c r="I75" s="6">
        <v>36.098999999999997</v>
      </c>
      <c r="J75" s="6">
        <v>13.12</v>
      </c>
      <c r="K75" s="6">
        <v>112.24070103</v>
      </c>
      <c r="L75" s="6">
        <v>46.384999999999998</v>
      </c>
      <c r="M75" s="6">
        <v>2.5000000000000001E-2</v>
      </c>
      <c r="N75" s="6">
        <v>367.49351753000008</v>
      </c>
      <c r="O75" s="6">
        <v>116.5</v>
      </c>
      <c r="P75" s="6" t="s">
        <v>69</v>
      </c>
      <c r="Q75" s="6">
        <v>26.606999999999999</v>
      </c>
      <c r="R75" s="6">
        <v>78.08</v>
      </c>
      <c r="S75" s="6">
        <v>8.5500208700000009</v>
      </c>
      <c r="T75" s="6">
        <v>139.149</v>
      </c>
      <c r="U75" s="6">
        <v>3.0139999999999998</v>
      </c>
      <c r="V75" s="6" t="s">
        <v>69</v>
      </c>
      <c r="W75" s="6">
        <v>0.129</v>
      </c>
      <c r="X75" s="6" t="s">
        <v>69</v>
      </c>
      <c r="Y75" s="6">
        <v>37.662999999999997</v>
      </c>
      <c r="Z75" s="6">
        <v>915.4</v>
      </c>
      <c r="AA75" s="6">
        <v>225.91399999999999</v>
      </c>
      <c r="AB75" s="6">
        <v>65.188000000000002</v>
      </c>
      <c r="AC75" s="6">
        <v>26.832000000000001</v>
      </c>
      <c r="AD75" s="6" t="s">
        <v>69</v>
      </c>
      <c r="AE75" s="6">
        <v>-16.393000000000001</v>
      </c>
    </row>
    <row r="76" spans="1:31" ht="15.75" x14ac:dyDescent="0.25">
      <c r="A76" s="28">
        <v>37073</v>
      </c>
      <c r="B76" s="6">
        <v>717.76052871999991</v>
      </c>
      <c r="C76" s="6">
        <v>29.59182792</v>
      </c>
      <c r="D76" s="6">
        <v>1027.6304301399998</v>
      </c>
      <c r="E76" s="6">
        <v>421.52145189999999</v>
      </c>
      <c r="F76" s="6">
        <v>41.203186029999998</v>
      </c>
      <c r="G76" s="6">
        <v>291.8</v>
      </c>
      <c r="H76" s="6">
        <v>68.864000000000004</v>
      </c>
      <c r="I76" s="6">
        <v>30.603999999999999</v>
      </c>
      <c r="J76" s="6">
        <v>20.024999999999999</v>
      </c>
      <c r="K76" s="6">
        <v>184.39629676999999</v>
      </c>
      <c r="L76" s="6">
        <v>46.357999999999997</v>
      </c>
      <c r="M76" s="6">
        <v>-1E-3</v>
      </c>
      <c r="N76" s="6">
        <v>419.51083189999997</v>
      </c>
      <c r="O76" s="6">
        <v>20.2</v>
      </c>
      <c r="P76" s="6" t="s">
        <v>69</v>
      </c>
      <c r="Q76" s="6">
        <v>25.934000000000001</v>
      </c>
      <c r="R76" s="6">
        <v>68.545999999999992</v>
      </c>
      <c r="S76" s="6">
        <v>8.8346928200000008</v>
      </c>
      <c r="T76" s="6">
        <v>131.29599999999999</v>
      </c>
      <c r="U76" s="6">
        <v>2.972</v>
      </c>
      <c r="V76" s="6" t="s">
        <v>69</v>
      </c>
      <c r="W76" s="6">
        <v>7.3999999999999996E-2</v>
      </c>
      <c r="X76" s="6" t="s">
        <v>69</v>
      </c>
      <c r="Y76" s="6">
        <v>75.218000000000004</v>
      </c>
      <c r="Z76" s="6">
        <v>1306</v>
      </c>
      <c r="AA76" s="6">
        <v>275.08600000000001</v>
      </c>
      <c r="AB76" s="6">
        <v>76.558999999999997</v>
      </c>
      <c r="AC76" s="6">
        <v>26.181999999999999</v>
      </c>
      <c r="AD76" s="6" t="s">
        <v>69</v>
      </c>
      <c r="AE76" s="6">
        <v>-1.087</v>
      </c>
    </row>
    <row r="77" spans="1:31" ht="15.75" x14ac:dyDescent="0.25">
      <c r="A77" s="28">
        <v>37104</v>
      </c>
      <c r="B77" s="6">
        <v>755.82917093000003</v>
      </c>
      <c r="C77" s="6">
        <v>29.168353010000001</v>
      </c>
      <c r="D77" s="6">
        <v>1037.8488520000001</v>
      </c>
      <c r="E77" s="6">
        <v>422.53068299000006</v>
      </c>
      <c r="F77" s="6">
        <v>44.355547260000002</v>
      </c>
      <c r="G77" s="6">
        <v>431.7</v>
      </c>
      <c r="H77" s="6">
        <v>89.016999999999996</v>
      </c>
      <c r="I77" s="6">
        <v>29.443000000000001</v>
      </c>
      <c r="J77" s="6">
        <v>15.077</v>
      </c>
      <c r="K77" s="6">
        <v>103.74086090999999</v>
      </c>
      <c r="L77" s="6">
        <v>43.146999999999998</v>
      </c>
      <c r="M77" s="6">
        <v>-1E-3</v>
      </c>
      <c r="N77" s="6">
        <v>550.86069032</v>
      </c>
      <c r="O77" s="6">
        <v>116</v>
      </c>
      <c r="P77" s="6" t="s">
        <v>69</v>
      </c>
      <c r="Q77" s="6">
        <v>25.253</v>
      </c>
      <c r="R77" s="6">
        <v>65.912000000000006</v>
      </c>
      <c r="S77" s="6">
        <v>12.005934399999999</v>
      </c>
      <c r="T77" s="6">
        <v>127.699</v>
      </c>
      <c r="U77" s="6">
        <v>2.98</v>
      </c>
      <c r="V77" s="6" t="s">
        <v>69</v>
      </c>
      <c r="W77" s="6">
        <v>0.108</v>
      </c>
      <c r="X77" s="6" t="s">
        <v>69</v>
      </c>
      <c r="Y77" s="6">
        <v>-11.285000000000002</v>
      </c>
      <c r="Z77" s="6">
        <v>973.4</v>
      </c>
      <c r="AA77" s="6">
        <v>177.149</v>
      </c>
      <c r="AB77" s="6">
        <v>63.369</v>
      </c>
      <c r="AC77" s="6">
        <v>25.7</v>
      </c>
      <c r="AD77" s="6" t="s">
        <v>69</v>
      </c>
      <c r="AE77" s="6">
        <v>0.496</v>
      </c>
    </row>
    <row r="78" spans="1:31" ht="15.75" x14ac:dyDescent="0.25">
      <c r="A78" s="28">
        <v>37135</v>
      </c>
      <c r="B78" s="6">
        <v>665.79364205000002</v>
      </c>
      <c r="C78" s="6">
        <v>24.288609619999999</v>
      </c>
      <c r="D78" s="6">
        <v>961.71525516999986</v>
      </c>
      <c r="E78" s="6">
        <v>329.91596917999999</v>
      </c>
      <c r="F78" s="6">
        <v>33.345870400000003</v>
      </c>
      <c r="G78" s="6">
        <v>377.1</v>
      </c>
      <c r="H78" s="6">
        <v>92.370999999999995</v>
      </c>
      <c r="I78" s="6">
        <v>29.819000000000003</v>
      </c>
      <c r="J78" s="6">
        <v>12.518000000000001</v>
      </c>
      <c r="K78" s="6">
        <v>148.72596743</v>
      </c>
      <c r="L78" s="6">
        <v>33.307000000000002</v>
      </c>
      <c r="M78" s="6">
        <v>-1E-3</v>
      </c>
      <c r="N78" s="6">
        <v>549.00100909999992</v>
      </c>
      <c r="O78" s="6">
        <v>11</v>
      </c>
      <c r="P78" s="6" t="s">
        <v>69</v>
      </c>
      <c r="Q78" s="6">
        <v>23.189</v>
      </c>
      <c r="R78" s="6">
        <v>63.457000000000001</v>
      </c>
      <c r="S78" s="6">
        <v>2.5309595800000002</v>
      </c>
      <c r="T78" s="6">
        <v>107.185</v>
      </c>
      <c r="U78" s="6">
        <v>2.4710000000000001</v>
      </c>
      <c r="V78" s="6" t="s">
        <v>69</v>
      </c>
      <c r="W78" s="6">
        <v>0.12</v>
      </c>
      <c r="X78" s="6" t="s">
        <v>69</v>
      </c>
      <c r="Y78" s="6">
        <v>-50.329000000000008</v>
      </c>
      <c r="Z78" s="6">
        <v>935.3</v>
      </c>
      <c r="AA78" s="6">
        <v>184.672</v>
      </c>
      <c r="AB78" s="6">
        <v>60.286000000000001</v>
      </c>
      <c r="AC78" s="6">
        <v>23.507000000000001</v>
      </c>
      <c r="AD78" s="6" t="s">
        <v>69</v>
      </c>
      <c r="AE78" s="6">
        <v>3.6139999999999999</v>
      </c>
    </row>
    <row r="79" spans="1:31" ht="15.75" x14ac:dyDescent="0.25">
      <c r="A79" s="28">
        <v>37165</v>
      </c>
      <c r="B79" s="6">
        <v>703.03366082000002</v>
      </c>
      <c r="C79" s="6">
        <v>24.585779990000002</v>
      </c>
      <c r="D79" s="6">
        <v>916.27723687000002</v>
      </c>
      <c r="E79" s="6">
        <v>351.39213668000002</v>
      </c>
      <c r="F79" s="6">
        <v>35.811227280000004</v>
      </c>
      <c r="G79" s="6">
        <v>406.5</v>
      </c>
      <c r="H79" s="6">
        <v>82.036000000000001</v>
      </c>
      <c r="I79" s="6">
        <v>26.408999999999999</v>
      </c>
      <c r="J79" s="6">
        <v>19.146000000000001</v>
      </c>
      <c r="K79" s="6">
        <v>188.64321568000003</v>
      </c>
      <c r="L79" s="6">
        <v>36.889000000000003</v>
      </c>
      <c r="M79" s="6">
        <v>0</v>
      </c>
      <c r="N79" s="6">
        <v>430.52662854000005</v>
      </c>
      <c r="O79" s="6">
        <v>118</v>
      </c>
      <c r="P79" s="6" t="s">
        <v>69</v>
      </c>
      <c r="Q79" s="6">
        <v>24.033000000000001</v>
      </c>
      <c r="R79" s="6">
        <v>49.872</v>
      </c>
      <c r="S79" s="6">
        <v>5.4491164799999998</v>
      </c>
      <c r="T79" s="6">
        <v>118.63</v>
      </c>
      <c r="U79" s="6">
        <v>2.8540000000000001</v>
      </c>
      <c r="V79" s="6" t="s">
        <v>69</v>
      </c>
      <c r="W79" s="6">
        <v>0.11600000000000001</v>
      </c>
      <c r="X79" s="6" t="s">
        <v>69</v>
      </c>
      <c r="Y79" s="6">
        <v>-15.579999999999998</v>
      </c>
      <c r="Z79" s="6">
        <v>917.9</v>
      </c>
      <c r="AA79" s="6">
        <v>196.749</v>
      </c>
      <c r="AB79" s="6">
        <v>60.329000000000001</v>
      </c>
      <c r="AC79" s="6">
        <v>24.318000000000001</v>
      </c>
      <c r="AD79" s="6" t="s">
        <v>69</v>
      </c>
      <c r="AE79" s="6">
        <v>-7.2110000000000003</v>
      </c>
    </row>
    <row r="80" spans="1:31" ht="15.75" x14ac:dyDescent="0.25">
      <c r="A80" s="28">
        <v>37196</v>
      </c>
      <c r="B80" s="6">
        <v>697.2</v>
      </c>
      <c r="C80" s="6">
        <v>21.4</v>
      </c>
      <c r="D80" s="6">
        <v>912.2</v>
      </c>
      <c r="E80" s="6">
        <v>317.89999999999998</v>
      </c>
      <c r="F80" s="6">
        <v>47.8</v>
      </c>
      <c r="G80" s="6">
        <v>368.63137317000002</v>
      </c>
      <c r="H80" s="6">
        <v>92.747</v>
      </c>
      <c r="I80" s="6">
        <v>28.967999999999996</v>
      </c>
      <c r="J80" s="6">
        <v>16.114999999999998</v>
      </c>
      <c r="K80" s="6">
        <v>139.9</v>
      </c>
      <c r="L80" s="6">
        <v>41.213000000000001</v>
      </c>
      <c r="M80" s="6">
        <v>0</v>
      </c>
      <c r="N80" s="6">
        <v>504.54749819000006</v>
      </c>
      <c r="O80" s="6">
        <v>14.34028277</v>
      </c>
      <c r="P80" s="6" t="s">
        <v>69</v>
      </c>
      <c r="Q80" s="6">
        <v>22.491</v>
      </c>
      <c r="R80" s="6">
        <v>54.689</v>
      </c>
      <c r="S80" s="6">
        <v>1.0077397699999999</v>
      </c>
      <c r="T80" s="6">
        <v>107.82</v>
      </c>
      <c r="U80" s="6">
        <v>2.468</v>
      </c>
      <c r="V80" s="6" t="s">
        <v>69</v>
      </c>
      <c r="W80" s="6">
        <v>9.2999999999999999E-2</v>
      </c>
      <c r="X80" s="6" t="s">
        <v>69</v>
      </c>
      <c r="Y80" s="6">
        <v>-4.9800000000000004</v>
      </c>
      <c r="Z80" s="6">
        <v>874.1</v>
      </c>
      <c r="AA80" s="6">
        <v>179.31299999999999</v>
      </c>
      <c r="AB80" s="6">
        <v>58.332000000000001</v>
      </c>
      <c r="AC80" s="6">
        <v>22.879000000000001</v>
      </c>
      <c r="AD80" s="6" t="s">
        <v>69</v>
      </c>
      <c r="AE80" s="6">
        <v>26.381999999999998</v>
      </c>
    </row>
    <row r="81" spans="1:31" ht="15.75" x14ac:dyDescent="0.25">
      <c r="A81" s="28">
        <v>37226</v>
      </c>
      <c r="B81" s="6">
        <v>626.94446629999993</v>
      </c>
      <c r="C81" s="6">
        <v>13.910936270000001</v>
      </c>
      <c r="D81" s="6">
        <v>768.10076497</v>
      </c>
      <c r="E81" s="6">
        <v>203.77111234</v>
      </c>
      <c r="F81" s="6">
        <v>34.449727870000004</v>
      </c>
      <c r="G81" s="6">
        <v>297.8</v>
      </c>
      <c r="H81" s="6">
        <v>89.162999999999997</v>
      </c>
      <c r="I81" s="6">
        <v>18.221</v>
      </c>
      <c r="J81" s="6">
        <v>11.145</v>
      </c>
      <c r="K81" s="6">
        <v>146.68837117999999</v>
      </c>
      <c r="L81" s="6">
        <v>25.109000000000002</v>
      </c>
      <c r="M81" s="6">
        <v>0</v>
      </c>
      <c r="N81" s="6">
        <v>389.83306625</v>
      </c>
      <c r="O81" s="6">
        <v>92.9</v>
      </c>
      <c r="P81" s="6" t="s">
        <v>69</v>
      </c>
      <c r="Q81" s="6">
        <v>15.529</v>
      </c>
      <c r="R81" s="6">
        <v>31.152999999999999</v>
      </c>
      <c r="S81" s="6">
        <v>2.0085685</v>
      </c>
      <c r="T81" s="6">
        <v>60.954000000000001</v>
      </c>
      <c r="U81" s="6">
        <v>1.4970000000000001</v>
      </c>
      <c r="V81" s="6" t="s">
        <v>69</v>
      </c>
      <c r="W81" s="6">
        <v>0.113</v>
      </c>
      <c r="X81" s="6" t="s">
        <v>69</v>
      </c>
      <c r="Y81" s="6">
        <v>6.3890000000000002</v>
      </c>
      <c r="Z81" s="6">
        <v>595.5</v>
      </c>
      <c r="AA81" s="6">
        <v>162.4</v>
      </c>
      <c r="AB81" s="6">
        <v>47.515000000000001</v>
      </c>
      <c r="AC81" s="6">
        <v>16.172000000000001</v>
      </c>
      <c r="AD81" s="6" t="s">
        <v>69</v>
      </c>
      <c r="AE81" s="6">
        <v>22.981000000000002</v>
      </c>
    </row>
    <row r="82" spans="1:31" ht="15.75" x14ac:dyDescent="0.25">
      <c r="A82" s="28">
        <v>37257</v>
      </c>
      <c r="B82" s="6">
        <v>607.37926153000001</v>
      </c>
      <c r="C82" s="6">
        <v>15.28947595</v>
      </c>
      <c r="D82" s="6">
        <v>872.22701510999991</v>
      </c>
      <c r="E82" s="6">
        <v>208.79313805999999</v>
      </c>
      <c r="F82" s="6">
        <v>37.336242120000001</v>
      </c>
      <c r="G82" s="6">
        <v>378.2</v>
      </c>
      <c r="H82" s="6">
        <v>119.033</v>
      </c>
      <c r="I82" s="6">
        <v>30.389000000000003</v>
      </c>
      <c r="J82" s="6">
        <v>22.867999999999999</v>
      </c>
      <c r="K82" s="6">
        <v>72.191748039999993</v>
      </c>
      <c r="L82" s="6">
        <v>33.064999999999998</v>
      </c>
      <c r="M82" s="6">
        <v>0</v>
      </c>
      <c r="N82" s="6">
        <v>535.45148969999991</v>
      </c>
      <c r="O82" s="6">
        <v>18.7</v>
      </c>
      <c r="P82" s="6" t="s">
        <v>69</v>
      </c>
      <c r="Q82" s="6">
        <v>17.826000000000001</v>
      </c>
      <c r="R82" s="6">
        <v>40.265999999999998</v>
      </c>
      <c r="S82" s="6">
        <v>2.2872314399999998</v>
      </c>
      <c r="T82" s="6">
        <v>71.274000000000001</v>
      </c>
      <c r="U82" s="6">
        <v>1.9770000000000001</v>
      </c>
      <c r="V82" s="6">
        <v>-8.6349999999999998</v>
      </c>
      <c r="W82" s="6">
        <v>0.14699999999999999</v>
      </c>
      <c r="X82" s="6" t="s">
        <v>69</v>
      </c>
      <c r="Y82" s="6">
        <v>1.3599999999999999</v>
      </c>
      <c r="Z82" s="6">
        <v>905</v>
      </c>
      <c r="AA82" s="6">
        <v>228.89599999999999</v>
      </c>
      <c r="AB82" s="6">
        <v>59.201999999999998</v>
      </c>
      <c r="AC82" s="6">
        <v>18.300999999999998</v>
      </c>
      <c r="AD82" s="6" t="s">
        <v>69</v>
      </c>
      <c r="AE82" s="6">
        <v>-1.0069999999999997</v>
      </c>
    </row>
    <row r="83" spans="1:31" ht="15.75" x14ac:dyDescent="0.25">
      <c r="A83" s="28">
        <v>37288</v>
      </c>
      <c r="B83" s="6">
        <v>456.14369091000003</v>
      </c>
      <c r="C83" s="6">
        <v>12.585479490000001</v>
      </c>
      <c r="D83" s="6">
        <v>882.63989855</v>
      </c>
      <c r="E83" s="6">
        <v>198.37918175999999</v>
      </c>
      <c r="F83" s="6">
        <v>30.813605309999996</v>
      </c>
      <c r="G83" s="6">
        <v>286.60000000000002</v>
      </c>
      <c r="H83" s="6">
        <v>103.372</v>
      </c>
      <c r="I83" s="6">
        <v>28.169</v>
      </c>
      <c r="J83" s="6">
        <v>13.215</v>
      </c>
      <c r="K83" s="6">
        <v>54.273437599999994</v>
      </c>
      <c r="L83" s="6">
        <v>55.845999999999997</v>
      </c>
      <c r="M83" s="6">
        <v>0.14899999999999999</v>
      </c>
      <c r="N83" s="6">
        <v>458.29725712999999</v>
      </c>
      <c r="O83" s="6">
        <v>82.7</v>
      </c>
      <c r="P83" s="6" t="s">
        <v>69</v>
      </c>
      <c r="Q83" s="6">
        <v>16.050999999999998</v>
      </c>
      <c r="R83" s="6">
        <v>30.411000000000001</v>
      </c>
      <c r="S83" s="6">
        <v>2.0380621699999999</v>
      </c>
      <c r="T83" s="6">
        <v>64.668000000000006</v>
      </c>
      <c r="U83" s="6">
        <v>1.792</v>
      </c>
      <c r="V83" s="6">
        <v>3.1E-2</v>
      </c>
      <c r="W83" s="6">
        <v>0.16300000000000001</v>
      </c>
      <c r="X83" s="6" t="s">
        <v>69</v>
      </c>
      <c r="Y83" s="6">
        <v>2.153</v>
      </c>
      <c r="Z83" s="6">
        <v>738</v>
      </c>
      <c r="AA83" s="6">
        <v>172.30600000000001</v>
      </c>
      <c r="AB83" s="6">
        <v>51.235999999999997</v>
      </c>
      <c r="AC83" s="6">
        <v>16.718</v>
      </c>
      <c r="AD83" s="6" t="s">
        <v>69</v>
      </c>
      <c r="AE83" s="6">
        <v>7.5830000000000002</v>
      </c>
    </row>
    <row r="84" spans="1:31" ht="15.75" x14ac:dyDescent="0.25">
      <c r="A84" s="28">
        <v>37316</v>
      </c>
      <c r="B84" s="6">
        <v>464.43517316999998</v>
      </c>
      <c r="C84" s="6">
        <v>15.88512659</v>
      </c>
      <c r="D84" s="6">
        <v>837.48389176000012</v>
      </c>
      <c r="E84" s="6">
        <v>237.49386626</v>
      </c>
      <c r="F84" s="6">
        <v>33.889960080000002</v>
      </c>
      <c r="G84" s="6">
        <v>312.8</v>
      </c>
      <c r="H84" s="6">
        <v>106.476</v>
      </c>
      <c r="I84" s="6">
        <v>24.959</v>
      </c>
      <c r="J84" s="6">
        <v>15.154999999999999</v>
      </c>
      <c r="K84" s="6">
        <v>38.824354280000001</v>
      </c>
      <c r="L84" s="6">
        <v>32.793999999999997</v>
      </c>
      <c r="M84" s="6">
        <v>0</v>
      </c>
      <c r="N84" s="6">
        <v>465.50860188999997</v>
      </c>
      <c r="O84" s="6">
        <v>16.2</v>
      </c>
      <c r="P84" s="6" t="s">
        <v>69</v>
      </c>
      <c r="Q84" s="6">
        <v>16.381</v>
      </c>
      <c r="R84" s="6">
        <v>27.646000000000001</v>
      </c>
      <c r="S84" s="6">
        <v>98.043514040000005</v>
      </c>
      <c r="T84" s="6">
        <v>65.769000000000005</v>
      </c>
      <c r="U84" s="6">
        <v>2.0350000000000001</v>
      </c>
      <c r="V84" s="6">
        <v>2.2010000000000001</v>
      </c>
      <c r="W84" s="6"/>
      <c r="X84" s="6" t="s">
        <v>69</v>
      </c>
      <c r="Y84" s="6">
        <v>1.6270000000000002</v>
      </c>
      <c r="Z84" s="6">
        <v>677.5</v>
      </c>
      <c r="AA84" s="6">
        <v>173.767</v>
      </c>
      <c r="AB84" s="6">
        <v>52.58</v>
      </c>
      <c r="AC84" s="6">
        <v>18.300999999999998</v>
      </c>
      <c r="AD84" s="6" t="s">
        <v>69</v>
      </c>
      <c r="AE84" s="6">
        <v>49.24</v>
      </c>
    </row>
    <row r="85" spans="1:31" ht="15.75" x14ac:dyDescent="0.25">
      <c r="A85" s="28">
        <v>37347</v>
      </c>
      <c r="B85" s="6">
        <v>415.33050835</v>
      </c>
      <c r="C85" s="6">
        <v>17.689200270000001</v>
      </c>
      <c r="D85" s="6">
        <v>745.84381481999992</v>
      </c>
      <c r="E85" s="6">
        <v>295.17914539999998</v>
      </c>
      <c r="F85" s="6">
        <v>33.624162040000002</v>
      </c>
      <c r="G85" s="6">
        <v>325.8</v>
      </c>
      <c r="H85" s="6">
        <v>82.251999999999995</v>
      </c>
      <c r="I85" s="6">
        <v>22.908000000000001</v>
      </c>
      <c r="J85" s="6">
        <v>19.792999999999999</v>
      </c>
      <c r="K85" s="6">
        <v>142.21440697</v>
      </c>
      <c r="L85" s="6">
        <v>43.253999999999998</v>
      </c>
      <c r="M85" s="6">
        <v>0</v>
      </c>
      <c r="N85" s="6">
        <v>338.75824599999982</v>
      </c>
      <c r="O85" s="6">
        <v>12.4</v>
      </c>
      <c r="P85" s="6" t="s">
        <v>69</v>
      </c>
      <c r="Q85" s="6">
        <v>15.170999999999999</v>
      </c>
      <c r="R85" s="6">
        <v>24.571999999999999</v>
      </c>
      <c r="S85" s="6">
        <v>224.76615174</v>
      </c>
      <c r="T85" s="6">
        <v>79.427000000000007</v>
      </c>
      <c r="U85" s="6">
        <v>2.6320000000000001</v>
      </c>
      <c r="V85" s="6">
        <v>2.3410000000000002</v>
      </c>
      <c r="W85" s="6">
        <v>0.154</v>
      </c>
      <c r="X85" s="6" t="s">
        <v>69</v>
      </c>
      <c r="Y85" s="6">
        <v>1.5660000000000001</v>
      </c>
      <c r="Z85" s="6">
        <v>677.1</v>
      </c>
      <c r="AA85" s="6">
        <v>180.422</v>
      </c>
      <c r="AB85" s="6">
        <v>51.151000000000003</v>
      </c>
      <c r="AC85" s="6">
        <v>16.718</v>
      </c>
      <c r="AD85" s="6" t="s">
        <v>69</v>
      </c>
      <c r="AE85" s="6">
        <v>-0.51600000000000534</v>
      </c>
    </row>
    <row r="86" spans="1:31" ht="15.75" x14ac:dyDescent="0.25">
      <c r="A86" s="28">
        <v>37377</v>
      </c>
      <c r="B86" s="6">
        <v>863.18086588000006</v>
      </c>
      <c r="C86" s="6">
        <v>29.912864859999999</v>
      </c>
      <c r="D86" s="6">
        <v>1214.5017531799999</v>
      </c>
      <c r="E86" s="6">
        <v>472.87129202999995</v>
      </c>
      <c r="F86" s="6">
        <v>36.930918920000003</v>
      </c>
      <c r="G86" s="6">
        <v>506.6</v>
      </c>
      <c r="H86" s="6">
        <v>144.81700000000001</v>
      </c>
      <c r="I86" s="6">
        <v>35.902999999999999</v>
      </c>
      <c r="J86" s="6">
        <v>16.907</v>
      </c>
      <c r="K86" s="6">
        <v>176.46565581999999</v>
      </c>
      <c r="L86" s="6">
        <v>155.203</v>
      </c>
      <c r="M86" s="6">
        <v>0</v>
      </c>
      <c r="N86" s="6">
        <v>684.54368267999996</v>
      </c>
      <c r="O86" s="6">
        <v>61.8</v>
      </c>
      <c r="P86" s="6" t="s">
        <v>69</v>
      </c>
      <c r="Q86" s="6">
        <v>24.437000000000001</v>
      </c>
      <c r="R86" s="6">
        <v>49.445999999999998</v>
      </c>
      <c r="S86" s="6">
        <v>439.99711126</v>
      </c>
      <c r="T86" s="6">
        <v>108.315</v>
      </c>
      <c r="U86" s="6">
        <v>3.88</v>
      </c>
      <c r="V86" s="6">
        <v>1.345</v>
      </c>
      <c r="W86" s="6">
        <v>0.22</v>
      </c>
      <c r="X86" s="6" t="s">
        <v>69</v>
      </c>
      <c r="Y86" s="6">
        <v>2.2269999999999999</v>
      </c>
      <c r="Z86" s="6">
        <v>835.1</v>
      </c>
      <c r="AA86" s="6">
        <v>200.90600000000001</v>
      </c>
      <c r="AB86" s="6">
        <v>58.622999999999998</v>
      </c>
      <c r="AC86" s="6">
        <v>17.077000000000002</v>
      </c>
      <c r="AD86" s="6" t="s">
        <v>69</v>
      </c>
      <c r="AE86" s="6">
        <v>22.58</v>
      </c>
    </row>
    <row r="87" spans="1:31" ht="15.75" x14ac:dyDescent="0.25">
      <c r="A87" s="28">
        <v>37408</v>
      </c>
      <c r="B87" s="6">
        <v>806.50891309999997</v>
      </c>
      <c r="C87" s="6">
        <v>26.268408549999997</v>
      </c>
      <c r="D87" s="6">
        <v>1144.8266349399998</v>
      </c>
      <c r="E87" s="6">
        <v>442.31605356000006</v>
      </c>
      <c r="F87" s="6">
        <v>40.746096659999999</v>
      </c>
      <c r="G87" s="6">
        <v>405.2</v>
      </c>
      <c r="H87" s="6">
        <v>112.316</v>
      </c>
      <c r="I87" s="6">
        <v>28.445999999999998</v>
      </c>
      <c r="J87" s="6">
        <v>13.243</v>
      </c>
      <c r="K87" s="6">
        <v>183.99780959</v>
      </c>
      <c r="L87" s="6">
        <v>57.02</v>
      </c>
      <c r="M87" s="6">
        <v>0</v>
      </c>
      <c r="N87" s="6">
        <v>612.48487132000002</v>
      </c>
      <c r="O87" s="6">
        <v>68.400000000000006</v>
      </c>
      <c r="P87" s="6" t="s">
        <v>69</v>
      </c>
      <c r="Q87" s="6">
        <v>16.545000000000002</v>
      </c>
      <c r="R87" s="6">
        <v>30.84</v>
      </c>
      <c r="S87" s="6">
        <v>596.46599079999999</v>
      </c>
      <c r="T87" s="6">
        <v>108.57599999999999</v>
      </c>
      <c r="U87" s="6">
        <v>3.6230000000000002</v>
      </c>
      <c r="V87" s="6">
        <v>0.92600000000000005</v>
      </c>
      <c r="W87" s="6">
        <v>0.16400000000000001</v>
      </c>
      <c r="X87" s="6" t="s">
        <v>69</v>
      </c>
      <c r="Y87" s="6">
        <v>2.0949999999999998</v>
      </c>
      <c r="Z87" s="6">
        <v>797.4</v>
      </c>
      <c r="AA87" s="6">
        <v>192.61099999999999</v>
      </c>
      <c r="AB87" s="6">
        <v>53.366</v>
      </c>
      <c r="AC87" s="6">
        <v>15.635999999999999</v>
      </c>
      <c r="AD87" s="6" t="s">
        <v>69</v>
      </c>
      <c r="AE87" s="6">
        <v>-15.719000000000001</v>
      </c>
    </row>
    <row r="88" spans="1:31" ht="15.75" x14ac:dyDescent="0.25">
      <c r="A88" s="28">
        <v>37438</v>
      </c>
      <c r="B88" s="6">
        <v>732.01547484999992</v>
      </c>
      <c r="C88" s="6">
        <v>31.790836609999999</v>
      </c>
      <c r="D88" s="6">
        <v>1250.3918254100001</v>
      </c>
      <c r="E88" s="6">
        <v>507.76006636</v>
      </c>
      <c r="F88" s="6">
        <v>53.051381710000001</v>
      </c>
      <c r="G88" s="6">
        <v>472.35943213000002</v>
      </c>
      <c r="H88" s="6">
        <v>116.791</v>
      </c>
      <c r="I88" s="6">
        <v>27.391999999999999</v>
      </c>
      <c r="J88" s="6">
        <v>20.689</v>
      </c>
      <c r="K88" s="6">
        <v>345.27515585999998</v>
      </c>
      <c r="L88" s="6">
        <v>87.576999999999998</v>
      </c>
      <c r="M88" s="6">
        <v>0</v>
      </c>
      <c r="N88" s="6">
        <v>610.7385316299999</v>
      </c>
      <c r="O88" s="6">
        <v>31.877547020000002</v>
      </c>
      <c r="P88" s="6" t="s">
        <v>69</v>
      </c>
      <c r="Q88" s="6">
        <v>21.06</v>
      </c>
      <c r="R88" s="9">
        <v>33.491</v>
      </c>
      <c r="S88" s="6">
        <v>732.75353657999995</v>
      </c>
      <c r="T88" s="6">
        <v>127.45099999999999</v>
      </c>
      <c r="U88" s="6">
        <v>4.4950000000000001</v>
      </c>
      <c r="V88" s="6">
        <v>0.221</v>
      </c>
      <c r="W88" s="6">
        <v>0.40200000000000002</v>
      </c>
      <c r="X88" s="6" t="s">
        <v>69</v>
      </c>
      <c r="Y88" s="6">
        <v>2.2589999999999999</v>
      </c>
      <c r="Z88" s="6">
        <v>1122</v>
      </c>
      <c r="AA88" s="6">
        <v>281.86500000000001</v>
      </c>
      <c r="AB88" s="6">
        <v>70.626999999999995</v>
      </c>
      <c r="AC88" s="6">
        <v>23.381</v>
      </c>
      <c r="AD88" s="6" t="s">
        <v>69</v>
      </c>
      <c r="AE88" s="6">
        <v>-37.353999999999999</v>
      </c>
    </row>
    <row r="89" spans="1:31" ht="15.75" x14ac:dyDescent="0.25">
      <c r="A89" s="28">
        <v>37469</v>
      </c>
      <c r="B89" s="6">
        <v>814.85672777999991</v>
      </c>
      <c r="C89" s="6">
        <v>29.28428654</v>
      </c>
      <c r="D89" s="6">
        <v>1291.1654752299999</v>
      </c>
      <c r="E89" s="6">
        <v>449.09429958999999</v>
      </c>
      <c r="F89" s="6">
        <v>51.088669430000003</v>
      </c>
      <c r="G89" s="6">
        <v>430.43485049999998</v>
      </c>
      <c r="H89" s="6">
        <v>114.357</v>
      </c>
      <c r="I89" s="6">
        <v>25.692</v>
      </c>
      <c r="J89" s="6">
        <v>18.094999999999999</v>
      </c>
      <c r="K89" s="6">
        <v>376.04039657999999</v>
      </c>
      <c r="L89" s="6">
        <v>175.166</v>
      </c>
      <c r="M89" s="6">
        <v>0</v>
      </c>
      <c r="N89" s="6">
        <v>687.35823589999995</v>
      </c>
      <c r="O89" s="6">
        <v>62.534427899999997</v>
      </c>
      <c r="P89" s="6" t="s">
        <v>69</v>
      </c>
      <c r="Q89" s="6">
        <v>18.713999999999999</v>
      </c>
      <c r="R89" s="6"/>
      <c r="S89" s="6">
        <v>684.23019394999994</v>
      </c>
      <c r="T89" s="6">
        <v>122.699</v>
      </c>
      <c r="U89" s="6">
        <v>4.6340000000000003</v>
      </c>
      <c r="V89" s="6">
        <v>0.157</v>
      </c>
      <c r="W89" s="6">
        <v>0.35899999999999999</v>
      </c>
      <c r="X89" s="6" t="s">
        <v>69</v>
      </c>
      <c r="Y89" s="6">
        <v>2.0409999999999999</v>
      </c>
      <c r="Z89" s="6">
        <v>847.5</v>
      </c>
      <c r="AA89" s="6">
        <v>214.29599999999999</v>
      </c>
      <c r="AB89" s="6">
        <v>59.164000000000001</v>
      </c>
      <c r="AC89" s="6">
        <v>18.417999999999999</v>
      </c>
      <c r="AD89" s="6" t="s">
        <v>69</v>
      </c>
      <c r="AE89" s="6">
        <v>-2.246</v>
      </c>
    </row>
    <row r="90" spans="1:31" ht="15.75" x14ac:dyDescent="0.25">
      <c r="A90" s="28">
        <v>37500</v>
      </c>
      <c r="B90" s="6">
        <v>652.97562170000003</v>
      </c>
      <c r="C90" s="6">
        <v>30.175460279999996</v>
      </c>
      <c r="D90" s="6">
        <v>1292.6225426599999</v>
      </c>
      <c r="E90" s="6">
        <v>462.11678503999997</v>
      </c>
      <c r="F90" s="6">
        <v>69.444881319999993</v>
      </c>
      <c r="G90" s="6">
        <v>419.84146035999999</v>
      </c>
      <c r="H90" s="6">
        <v>131.946</v>
      </c>
      <c r="I90" s="6">
        <v>25.567</v>
      </c>
      <c r="J90" s="6">
        <v>19.195</v>
      </c>
      <c r="K90" s="6">
        <v>414.47664595999998</v>
      </c>
      <c r="L90" s="6">
        <v>120.196</v>
      </c>
      <c r="M90" s="6">
        <v>0</v>
      </c>
      <c r="N90" s="6">
        <v>690.49790536</v>
      </c>
      <c r="O90" s="6">
        <v>20.09441803</v>
      </c>
      <c r="P90" s="6" t="s">
        <v>69</v>
      </c>
      <c r="Q90" s="6">
        <v>18.425999999999998</v>
      </c>
      <c r="R90" s="6">
        <v>29.865000000000002</v>
      </c>
      <c r="S90" s="6">
        <v>486.89402340999999</v>
      </c>
      <c r="T90" s="6">
        <v>118.09099999999999</v>
      </c>
      <c r="U90" s="6">
        <v>4.0049999999999999</v>
      </c>
      <c r="V90" s="6">
        <v>0.19600000000000001</v>
      </c>
      <c r="W90" s="6">
        <v>0.29499999999999998</v>
      </c>
      <c r="X90" s="6" t="s">
        <v>69</v>
      </c>
      <c r="Y90" s="6">
        <v>3.2160000000000002</v>
      </c>
      <c r="Z90" s="6">
        <v>847.3</v>
      </c>
      <c r="AA90" s="6">
        <v>217.56200000000001</v>
      </c>
      <c r="AB90" s="6">
        <v>58.280999999999999</v>
      </c>
      <c r="AC90" s="6">
        <v>21.558</v>
      </c>
      <c r="AD90" s="6" t="s">
        <v>69</v>
      </c>
      <c r="AE90" s="6">
        <v>1.6940000000000002</v>
      </c>
    </row>
    <row r="91" spans="1:31" ht="15.75" x14ac:dyDescent="0.25">
      <c r="A91" s="28">
        <v>37530</v>
      </c>
      <c r="B91" s="6">
        <v>814.10174967</v>
      </c>
      <c r="C91" s="6">
        <v>34.715846110000001</v>
      </c>
      <c r="D91" s="6">
        <v>1252.17807421</v>
      </c>
      <c r="E91" s="6">
        <v>524.79398694999998</v>
      </c>
      <c r="F91" s="6">
        <v>45.923223129999997</v>
      </c>
      <c r="G91" s="6">
        <v>462.58842487999999</v>
      </c>
      <c r="H91" s="6">
        <v>119.813</v>
      </c>
      <c r="I91" s="6">
        <v>26.347999999999999</v>
      </c>
      <c r="J91" s="6">
        <v>17.626000000000001</v>
      </c>
      <c r="K91" s="6">
        <v>352.87580582999999</v>
      </c>
      <c r="L91" s="6">
        <v>160.73699999999999</v>
      </c>
      <c r="M91" s="6">
        <v>0</v>
      </c>
      <c r="N91" s="6">
        <v>608.88699929000006</v>
      </c>
      <c r="O91" s="6">
        <v>66.598545169999994</v>
      </c>
      <c r="P91" s="7" t="s">
        <v>69</v>
      </c>
      <c r="Q91" s="7">
        <v>19.231000000000002</v>
      </c>
      <c r="R91" s="6">
        <v>26.158000000000001</v>
      </c>
      <c r="S91" s="6">
        <v>608.79435421999995</v>
      </c>
      <c r="T91" s="6">
        <v>131.77699999999999</v>
      </c>
      <c r="U91" s="6">
        <v>4.04</v>
      </c>
      <c r="V91" s="6">
        <v>0.02</v>
      </c>
      <c r="W91" s="6">
        <v>0.25700000000000001</v>
      </c>
      <c r="X91" s="6" t="s">
        <v>69</v>
      </c>
      <c r="Y91" s="6">
        <v>2.0549999999999997</v>
      </c>
      <c r="Z91" s="6">
        <v>870.4</v>
      </c>
      <c r="AA91" s="6">
        <v>222.81</v>
      </c>
      <c r="AB91" s="6">
        <v>59.597000000000001</v>
      </c>
      <c r="AC91" s="6">
        <v>19.824000000000002</v>
      </c>
      <c r="AD91" s="6" t="s">
        <v>69</v>
      </c>
      <c r="AE91" s="7">
        <v>1.605</v>
      </c>
    </row>
    <row r="92" spans="1:31" ht="15.75" x14ac:dyDescent="0.25">
      <c r="A92" s="28">
        <v>37561</v>
      </c>
      <c r="B92" s="6">
        <v>1077.38158849</v>
      </c>
      <c r="C92" s="6">
        <v>33.20080549</v>
      </c>
      <c r="D92" s="6">
        <v>1326.1204324199998</v>
      </c>
      <c r="E92" s="6">
        <v>525.06968273999996</v>
      </c>
      <c r="F92" s="6">
        <v>55.949439280000007</v>
      </c>
      <c r="G92" s="6">
        <v>436.73714629</v>
      </c>
      <c r="H92" s="6">
        <v>132.255</v>
      </c>
      <c r="I92" s="6">
        <v>28.700000000000003</v>
      </c>
      <c r="J92" s="6">
        <v>15.122999999999999</v>
      </c>
      <c r="K92" s="6">
        <v>349.44305356000001</v>
      </c>
      <c r="L92" s="6">
        <v>157.14500000000001</v>
      </c>
      <c r="M92" s="6">
        <v>8.1000000000000003E-2</v>
      </c>
      <c r="N92" s="6">
        <v>635.78254111000001</v>
      </c>
      <c r="O92" s="6">
        <v>15.803830680000001</v>
      </c>
      <c r="P92" s="6" t="s">
        <v>69</v>
      </c>
      <c r="Q92" s="6">
        <v>18.643999999999998</v>
      </c>
      <c r="R92" s="6">
        <v>27.35</v>
      </c>
      <c r="S92" s="6">
        <v>631.60985672000004</v>
      </c>
      <c r="T92" s="6">
        <v>132.54300000000001</v>
      </c>
      <c r="U92" s="6">
        <v>4.42</v>
      </c>
      <c r="V92" s="6">
        <v>6.0000000000000001E-3</v>
      </c>
      <c r="W92" s="6">
        <v>0.39800000000000002</v>
      </c>
      <c r="X92" s="6" t="s">
        <v>69</v>
      </c>
      <c r="Y92" s="6">
        <v>2.3090000000000002</v>
      </c>
      <c r="Z92" s="6">
        <v>837.1</v>
      </c>
      <c r="AA92" s="6">
        <v>212.886</v>
      </c>
      <c r="AB92" s="6">
        <v>59.337000000000003</v>
      </c>
      <c r="AC92" s="6">
        <v>19.376999999999999</v>
      </c>
      <c r="AD92" s="6" t="s">
        <v>69</v>
      </c>
      <c r="AE92" s="6">
        <v>3.2959999999999998</v>
      </c>
    </row>
    <row r="93" spans="1:31" ht="15.75" x14ac:dyDescent="0.25">
      <c r="A93" s="28">
        <v>37591</v>
      </c>
      <c r="B93" s="6">
        <v>904.65550542999995</v>
      </c>
      <c r="C93" s="6">
        <v>33.575969540000003</v>
      </c>
      <c r="D93" s="6">
        <v>1255.3443324</v>
      </c>
      <c r="E93" s="6">
        <v>463.10303354000001</v>
      </c>
      <c r="F93" s="6">
        <v>45.821614650000001</v>
      </c>
      <c r="G93" s="6">
        <v>420.18496406999998</v>
      </c>
      <c r="H93" s="6">
        <v>143.15700000000001</v>
      </c>
      <c r="I93" s="6">
        <v>35.526000000000003</v>
      </c>
      <c r="J93" s="6">
        <v>25.725999999999999</v>
      </c>
      <c r="K93" s="6">
        <v>404.06353588000002</v>
      </c>
      <c r="L93" s="6">
        <v>143.77699999999999</v>
      </c>
      <c r="M93" s="6">
        <v>0</v>
      </c>
      <c r="N93" s="6">
        <v>959.5572116300001</v>
      </c>
      <c r="O93" s="6">
        <v>66.400000000000006</v>
      </c>
      <c r="P93" s="6" t="s">
        <v>69</v>
      </c>
      <c r="Q93" s="6">
        <v>20.771000000000001</v>
      </c>
      <c r="R93" s="6">
        <v>28.457999999999998</v>
      </c>
      <c r="S93" s="6">
        <v>513.66074319999996</v>
      </c>
      <c r="T93" s="6">
        <v>135.05199999999999</v>
      </c>
      <c r="U93" s="6">
        <v>4.4000000000000004</v>
      </c>
      <c r="V93" s="6">
        <v>5.1999999999999998E-2</v>
      </c>
      <c r="W93" s="6">
        <v>0.751</v>
      </c>
      <c r="X93" s="6" t="s">
        <v>69</v>
      </c>
      <c r="Y93" s="6">
        <v>2.867</v>
      </c>
      <c r="Z93" s="6">
        <v>839.5</v>
      </c>
      <c r="AA93" s="6">
        <v>213.30099999999999</v>
      </c>
      <c r="AB93" s="6">
        <v>58.259</v>
      </c>
      <c r="AC93" s="6">
        <v>20.510999999999999</v>
      </c>
      <c r="AD93" s="6" t="s">
        <v>69</v>
      </c>
      <c r="AE93" s="6">
        <v>18.065999999999999</v>
      </c>
    </row>
    <row r="94" spans="1:31" ht="15.75" x14ac:dyDescent="0.25">
      <c r="A94" s="28">
        <v>37622</v>
      </c>
      <c r="B94" s="6">
        <v>1061.00419078</v>
      </c>
      <c r="C94" s="6">
        <v>34.157545709999994</v>
      </c>
      <c r="D94" s="6">
        <v>1392.7633353199999</v>
      </c>
      <c r="E94" s="6">
        <v>567.21968347999996</v>
      </c>
      <c r="F94" s="6">
        <v>50.487246329999998</v>
      </c>
      <c r="G94" s="6">
        <v>515.70000000000005</v>
      </c>
      <c r="H94" s="6">
        <v>144.05199999999999</v>
      </c>
      <c r="I94" s="30">
        <v>39.744508200000006</v>
      </c>
      <c r="J94" s="30">
        <v>20.409483729999998</v>
      </c>
      <c r="K94" s="6">
        <v>273.63048722999997</v>
      </c>
      <c r="L94" s="6">
        <v>103.71322791999999</v>
      </c>
      <c r="M94" s="6">
        <v>0</v>
      </c>
      <c r="N94" s="6">
        <v>415.32628126999998</v>
      </c>
      <c r="O94" s="6">
        <v>16.3</v>
      </c>
      <c r="P94" s="6" t="s">
        <v>69</v>
      </c>
      <c r="Q94" s="6">
        <v>21.738873260000009</v>
      </c>
      <c r="R94" s="6">
        <v>33.704463060000002</v>
      </c>
      <c r="S94" s="6">
        <v>664.13784854000005</v>
      </c>
      <c r="T94" s="6">
        <v>146.51977528</v>
      </c>
      <c r="U94" s="6">
        <v>4.4588738599999997</v>
      </c>
      <c r="V94" s="6">
        <v>3.2560560000000002E-2</v>
      </c>
      <c r="W94" s="6">
        <v>0.20108612000000003</v>
      </c>
      <c r="X94" s="6" t="s">
        <v>69</v>
      </c>
      <c r="Y94" s="6">
        <v>3.0570629900000004</v>
      </c>
      <c r="Z94" s="6">
        <v>1229</v>
      </c>
      <c r="AA94" s="6">
        <v>305.62959291999994</v>
      </c>
      <c r="AB94" s="6">
        <v>77.633080700000036</v>
      </c>
      <c r="AC94" s="6">
        <v>22.805921989999998</v>
      </c>
      <c r="AD94" s="6" t="s">
        <v>69</v>
      </c>
      <c r="AE94" s="6">
        <v>-9.4607976700000034</v>
      </c>
    </row>
    <row r="95" spans="1:31" ht="15.75" x14ac:dyDescent="0.25">
      <c r="A95" s="28">
        <v>37653</v>
      </c>
      <c r="B95" s="6">
        <v>772.47995968999999</v>
      </c>
      <c r="C95" s="6">
        <v>30.880988739999999</v>
      </c>
      <c r="D95" s="6">
        <v>1223.81896592</v>
      </c>
      <c r="E95" s="6">
        <v>479.70683637000002</v>
      </c>
      <c r="F95" s="6">
        <v>47.229138730000003</v>
      </c>
      <c r="G95" s="6">
        <v>394.7</v>
      </c>
      <c r="H95" s="6">
        <v>121.691</v>
      </c>
      <c r="I95" s="30">
        <v>33.556873359999997</v>
      </c>
      <c r="J95" s="30">
        <v>16.143185209999995</v>
      </c>
      <c r="K95" s="6">
        <v>349.28875922999998</v>
      </c>
      <c r="L95" s="6">
        <v>108.5</v>
      </c>
      <c r="M95" s="6">
        <v>0</v>
      </c>
      <c r="N95" s="6">
        <v>677.14689941999995</v>
      </c>
      <c r="O95" s="6">
        <v>66.599999999999994</v>
      </c>
      <c r="P95" s="6" t="s">
        <v>69</v>
      </c>
      <c r="Q95" s="6">
        <v>19.437269359999998</v>
      </c>
      <c r="R95" s="6">
        <v>27.46860758</v>
      </c>
      <c r="S95" s="6">
        <v>619.94831389000001</v>
      </c>
      <c r="T95" s="6">
        <v>119.21957305000002</v>
      </c>
      <c r="U95" s="6">
        <v>3.9990851899999997</v>
      </c>
      <c r="V95" s="6">
        <v>6.2756000000000001E-3</v>
      </c>
      <c r="W95" s="6">
        <v>0.12695264000000001</v>
      </c>
      <c r="X95" s="6" t="s">
        <v>69</v>
      </c>
      <c r="Y95" s="6">
        <v>3.7333477499999992</v>
      </c>
      <c r="Z95" s="6">
        <v>871.3</v>
      </c>
      <c r="AA95" s="6">
        <v>229.99061036000003</v>
      </c>
      <c r="AB95" s="6">
        <v>62.483621779999993</v>
      </c>
      <c r="AC95" s="6">
        <v>20.776224959999997</v>
      </c>
      <c r="AD95" s="6" t="s">
        <v>69</v>
      </c>
      <c r="AE95" s="6">
        <v>4.1693159400000006</v>
      </c>
    </row>
    <row r="96" spans="1:31" ht="15.75" x14ac:dyDescent="0.25">
      <c r="A96" s="28">
        <v>37681</v>
      </c>
      <c r="B96" s="6">
        <v>749.43990473999997</v>
      </c>
      <c r="C96" s="6">
        <v>33.841718630000003</v>
      </c>
      <c r="D96" s="6">
        <v>1271.5830671399999</v>
      </c>
      <c r="E96" s="6">
        <v>526.46286129999999</v>
      </c>
      <c r="F96" s="6">
        <v>57.659483639999998</v>
      </c>
      <c r="G96" s="6">
        <v>420.9</v>
      </c>
      <c r="H96" s="6">
        <v>135.57697669999999</v>
      </c>
      <c r="I96" s="30">
        <v>24.894870999999995</v>
      </c>
      <c r="J96" s="30">
        <v>18.55894812</v>
      </c>
      <c r="K96" s="6">
        <v>299.12595618</v>
      </c>
      <c r="L96" s="6">
        <v>120.01601612999998</v>
      </c>
      <c r="M96" s="6">
        <v>0</v>
      </c>
      <c r="N96" s="6">
        <v>645.03772791000006</v>
      </c>
      <c r="O96" s="6">
        <v>13.2</v>
      </c>
      <c r="P96" s="6" t="s">
        <v>69</v>
      </c>
      <c r="Q96" s="6">
        <v>20.335888860000001</v>
      </c>
      <c r="R96" s="6">
        <v>26.642309569999998</v>
      </c>
      <c r="S96" s="6">
        <v>739.29279022000003</v>
      </c>
      <c r="T96" s="6">
        <v>130.59472077999999</v>
      </c>
      <c r="U96" s="6">
        <v>4.2107595799999995</v>
      </c>
      <c r="V96" s="6">
        <v>5.4061199999999995E-3</v>
      </c>
      <c r="W96" s="6">
        <v>0.18076211</v>
      </c>
      <c r="X96" s="6" t="s">
        <v>69</v>
      </c>
      <c r="Y96" s="6">
        <v>4.7339773300000001</v>
      </c>
      <c r="Z96" s="6">
        <v>813.7</v>
      </c>
      <c r="AA96" s="6">
        <v>224.31450484000001</v>
      </c>
      <c r="AB96" s="6">
        <v>61.950701619999997</v>
      </c>
      <c r="AC96" s="6">
        <v>21.614699260000002</v>
      </c>
      <c r="AD96" s="6" t="s">
        <v>69</v>
      </c>
      <c r="AE96" s="6">
        <v>-8.2848438800000057</v>
      </c>
    </row>
    <row r="97" spans="1:31" ht="15.75" x14ac:dyDescent="0.25">
      <c r="A97" s="28">
        <v>37712</v>
      </c>
      <c r="B97" s="6">
        <v>922.6715182800001</v>
      </c>
      <c r="C97" s="6">
        <v>38.827092149999999</v>
      </c>
      <c r="D97" s="6">
        <v>1367.97265107</v>
      </c>
      <c r="E97" s="6">
        <v>630.75928018000002</v>
      </c>
      <c r="F97" s="6">
        <v>44.352455310000003</v>
      </c>
      <c r="G97" s="6">
        <v>461.7</v>
      </c>
      <c r="H97" s="6">
        <v>131.81581669000002</v>
      </c>
      <c r="I97" s="30">
        <v>28.119682940000004</v>
      </c>
      <c r="J97" s="30">
        <v>24.314704759999998</v>
      </c>
      <c r="K97" s="6">
        <v>303.12504324000002</v>
      </c>
      <c r="L97" s="6">
        <v>100.00278757000002</v>
      </c>
      <c r="M97" s="6">
        <v>0</v>
      </c>
      <c r="N97" s="6">
        <v>734.22839668999995</v>
      </c>
      <c r="O97" s="6">
        <v>97</v>
      </c>
      <c r="P97" s="6" t="s">
        <v>69</v>
      </c>
      <c r="Q97" s="6">
        <v>22.304588820000003</v>
      </c>
      <c r="R97" s="6">
        <v>33.575312279999999</v>
      </c>
      <c r="S97" s="6">
        <v>809.88676418</v>
      </c>
      <c r="T97" s="6">
        <v>158.52190888000004</v>
      </c>
      <c r="U97" s="6">
        <v>4.879105749999999</v>
      </c>
      <c r="V97" s="6">
        <v>6.7171399999999999E-3</v>
      </c>
      <c r="W97" s="6">
        <v>0.20465743999999997</v>
      </c>
      <c r="X97" s="6" t="s">
        <v>69</v>
      </c>
      <c r="Y97" s="6">
        <v>4.7438227000000008</v>
      </c>
      <c r="Z97" s="6">
        <v>901.6</v>
      </c>
      <c r="AA97" s="6">
        <v>234.20878138</v>
      </c>
      <c r="AB97" s="6">
        <v>64.121962429999996</v>
      </c>
      <c r="AC97" s="6">
        <v>23.841806399999999</v>
      </c>
      <c r="AD97" s="6" t="s">
        <v>69</v>
      </c>
      <c r="AE97" s="6">
        <v>-6.5985997100000029</v>
      </c>
    </row>
    <row r="98" spans="1:31" ht="15.75" x14ac:dyDescent="0.25">
      <c r="A98" s="28">
        <v>37742</v>
      </c>
      <c r="B98" s="6">
        <v>2126.0313870499999</v>
      </c>
      <c r="C98" s="6">
        <v>37.946895139999995</v>
      </c>
      <c r="D98" s="6">
        <v>1297.64916212</v>
      </c>
      <c r="E98" s="6">
        <v>593.70548530000008</v>
      </c>
      <c r="F98" s="6">
        <v>303.69293893999998</v>
      </c>
      <c r="G98" s="6">
        <v>494.20297569999997</v>
      </c>
      <c r="H98" s="6">
        <v>125.72694496999999</v>
      </c>
      <c r="I98" s="30">
        <v>32.893989130000001</v>
      </c>
      <c r="J98" s="30">
        <v>19.110179110000004</v>
      </c>
      <c r="K98" s="6">
        <v>513.86272701000007</v>
      </c>
      <c r="L98" s="6">
        <v>118.00255306000005</v>
      </c>
      <c r="M98" s="6">
        <v>0</v>
      </c>
      <c r="N98" s="6">
        <v>688.05284229999995</v>
      </c>
      <c r="O98" s="6">
        <v>463.22688418999996</v>
      </c>
      <c r="P98" s="6" t="s">
        <v>69</v>
      </c>
      <c r="Q98" s="6">
        <v>26.647348929999996</v>
      </c>
      <c r="R98" s="6">
        <v>31.25276594999999</v>
      </c>
      <c r="S98" s="6">
        <v>961.76207408000005</v>
      </c>
      <c r="T98" s="6">
        <v>151.54020177000004</v>
      </c>
      <c r="U98" s="6">
        <v>4.6779664799999994</v>
      </c>
      <c r="V98" s="6">
        <v>-1.963233E-2</v>
      </c>
      <c r="W98" s="6">
        <v>0.15671324</v>
      </c>
      <c r="X98" s="6" t="s">
        <v>69</v>
      </c>
      <c r="Y98" s="6">
        <v>4.8649629000000001</v>
      </c>
      <c r="Z98" s="6">
        <v>941.9</v>
      </c>
      <c r="AA98" s="6">
        <v>238.07019812000001</v>
      </c>
      <c r="AB98" s="6">
        <v>66.353341670000006</v>
      </c>
      <c r="AC98" s="6">
        <v>23.69417091</v>
      </c>
      <c r="AD98" s="6" t="s">
        <v>69</v>
      </c>
      <c r="AE98" s="6">
        <v>3.1092743099999982</v>
      </c>
    </row>
    <row r="99" spans="1:31" ht="15.75" x14ac:dyDescent="0.25">
      <c r="A99" s="28">
        <v>37773</v>
      </c>
      <c r="B99" s="6">
        <v>1604.4446320500001</v>
      </c>
      <c r="C99" s="6">
        <v>42.947377019999998</v>
      </c>
      <c r="D99" s="6">
        <v>1334.04720901</v>
      </c>
      <c r="E99" s="6">
        <v>649.12369553000008</v>
      </c>
      <c r="F99" s="6">
        <v>115.46073852000001</v>
      </c>
      <c r="G99" s="6">
        <v>472.94926117</v>
      </c>
      <c r="H99" s="6">
        <v>135.71389045000001</v>
      </c>
      <c r="I99" s="30">
        <v>32.430847480000004</v>
      </c>
      <c r="J99" s="30">
        <v>19.594120639999996</v>
      </c>
      <c r="K99" s="6">
        <v>353.86462002000002</v>
      </c>
      <c r="L99" s="6">
        <v>120.00025731999999</v>
      </c>
      <c r="M99" s="6">
        <v>0</v>
      </c>
      <c r="N99" s="6">
        <v>722.67046441000002</v>
      </c>
      <c r="O99" s="6">
        <v>243.34012104000001</v>
      </c>
      <c r="P99" s="6" t="s">
        <v>69</v>
      </c>
      <c r="Q99" s="6">
        <v>23.970053379999996</v>
      </c>
      <c r="R99" s="6">
        <v>28.019768150000001</v>
      </c>
      <c r="S99" s="6">
        <v>937.06614449000006</v>
      </c>
      <c r="T99" s="6">
        <v>166.99018330000001</v>
      </c>
      <c r="U99" s="6">
        <v>4.8138873899999997</v>
      </c>
      <c r="V99" s="6">
        <v>3.2551400000000001E-3</v>
      </c>
      <c r="W99" s="6">
        <v>0.27144887000000006</v>
      </c>
      <c r="X99" s="6" t="s">
        <v>69</v>
      </c>
      <c r="Y99" s="6">
        <v>6.0449498300000002</v>
      </c>
      <c r="Z99" s="6">
        <v>925.2</v>
      </c>
      <c r="AA99" s="6">
        <v>243.63261346999997</v>
      </c>
      <c r="AB99" s="6">
        <v>66.924910049999994</v>
      </c>
      <c r="AC99" s="6">
        <v>24.309519279999996</v>
      </c>
      <c r="AD99" s="6" t="s">
        <v>69</v>
      </c>
      <c r="AE99" s="6">
        <v>1.0531739300000038</v>
      </c>
    </row>
    <row r="100" spans="1:31" ht="15.75" x14ac:dyDescent="0.25">
      <c r="A100" s="28">
        <v>37803</v>
      </c>
      <c r="B100" s="6">
        <v>1131.9538420000001</v>
      </c>
      <c r="C100" s="6">
        <v>51.961799570000004</v>
      </c>
      <c r="D100" s="6">
        <v>1461.2391162600002</v>
      </c>
      <c r="E100" s="6">
        <v>719.55343377000008</v>
      </c>
      <c r="F100" s="6">
        <v>114.00701230999999</v>
      </c>
      <c r="G100" s="6">
        <v>518.29652699999997</v>
      </c>
      <c r="H100" s="6">
        <v>132.15183481</v>
      </c>
      <c r="I100" s="30">
        <v>37.408698910000005</v>
      </c>
      <c r="J100" s="30">
        <v>19.016003909999995</v>
      </c>
      <c r="K100" s="6">
        <v>350.03917462999999</v>
      </c>
      <c r="L100" s="6">
        <v>119.90121477999993</v>
      </c>
      <c r="M100" s="6">
        <v>0</v>
      </c>
      <c r="N100" s="6">
        <v>628.01379846999998</v>
      </c>
      <c r="O100" s="6">
        <v>142.99747019</v>
      </c>
      <c r="P100" s="6" t="s">
        <v>69</v>
      </c>
      <c r="Q100" s="6">
        <v>25.345378089999993</v>
      </c>
      <c r="R100" s="6">
        <v>33.131679299999995</v>
      </c>
      <c r="S100" s="6">
        <v>894.55976713999996</v>
      </c>
      <c r="T100" s="6">
        <v>190.10747482000002</v>
      </c>
      <c r="U100" s="6">
        <v>5.29591557</v>
      </c>
      <c r="V100" s="6">
        <v>4.1094199999999999E-3</v>
      </c>
      <c r="W100" s="6">
        <v>0.30750128999999998</v>
      </c>
      <c r="X100" s="6" t="s">
        <v>69</v>
      </c>
      <c r="Y100" s="6">
        <v>7.0715673600000004</v>
      </c>
      <c r="Z100" s="6">
        <v>1356.3</v>
      </c>
      <c r="AA100" s="6">
        <v>340.91568439000002</v>
      </c>
      <c r="AB100" s="6">
        <v>87.011307719999991</v>
      </c>
      <c r="AC100" s="6">
        <v>26.143015680000005</v>
      </c>
      <c r="AD100" s="6" t="s">
        <v>69</v>
      </c>
      <c r="AE100" s="6">
        <v>4.1181812000000013</v>
      </c>
    </row>
    <row r="101" spans="1:31" ht="15.75" x14ac:dyDescent="0.25">
      <c r="A101" s="28">
        <v>37834</v>
      </c>
      <c r="B101" s="6">
        <v>1260.19606733</v>
      </c>
      <c r="C101" s="6">
        <v>50.097280570000002</v>
      </c>
      <c r="D101" s="6">
        <v>1510.4311077899999</v>
      </c>
      <c r="E101" s="6">
        <v>655.12684976000003</v>
      </c>
      <c r="F101" s="6">
        <v>129.95489895</v>
      </c>
      <c r="G101" s="6">
        <v>470.08728535</v>
      </c>
      <c r="H101" s="6">
        <v>164.04671856000002</v>
      </c>
      <c r="I101" s="30">
        <v>41.876882049999999</v>
      </c>
      <c r="J101" s="30">
        <v>18.894052739999996</v>
      </c>
      <c r="K101" s="6">
        <v>345.28099191000001</v>
      </c>
      <c r="L101" s="6">
        <v>106.87718766999997</v>
      </c>
      <c r="M101" s="6">
        <v>0</v>
      </c>
      <c r="N101" s="6">
        <v>749.53721522000001</v>
      </c>
      <c r="O101" s="6">
        <v>219.43214940999999</v>
      </c>
      <c r="P101" s="6" t="s">
        <v>69</v>
      </c>
      <c r="Q101" s="6">
        <v>24.796026949999998</v>
      </c>
      <c r="R101" s="6">
        <v>27.664046579999997</v>
      </c>
      <c r="S101" s="6">
        <v>590.34784633000004</v>
      </c>
      <c r="T101" s="6">
        <v>162.85181474999999</v>
      </c>
      <c r="U101" s="6">
        <v>4.9084800599999996</v>
      </c>
      <c r="V101" s="6">
        <v>-39.604786930000003</v>
      </c>
      <c r="W101" s="6">
        <v>0.18138400999999998</v>
      </c>
      <c r="X101" s="6" t="s">
        <v>69</v>
      </c>
      <c r="Y101" s="6">
        <v>5.7349982300000004</v>
      </c>
      <c r="Z101" s="6">
        <v>997.2</v>
      </c>
      <c r="AA101" s="6">
        <v>255.31666154000007</v>
      </c>
      <c r="AB101" s="6">
        <v>72.436793439999988</v>
      </c>
      <c r="AC101" s="6">
        <v>26.051877770000001</v>
      </c>
      <c r="AD101" s="6" t="s">
        <v>69</v>
      </c>
      <c r="AE101" s="6">
        <v>-2.1943621999999974</v>
      </c>
    </row>
    <row r="102" spans="1:31" ht="15.75" x14ac:dyDescent="0.25">
      <c r="A102" s="28">
        <v>37865</v>
      </c>
      <c r="B102" s="6">
        <v>965.87661786000012</v>
      </c>
      <c r="C102" s="6">
        <v>52.770886990000008</v>
      </c>
      <c r="D102" s="6">
        <v>1396.5004894799999</v>
      </c>
      <c r="E102" s="6">
        <v>1004.01648367</v>
      </c>
      <c r="F102" s="6">
        <v>127.88905101</v>
      </c>
      <c r="G102" s="6">
        <v>516.92906565999999</v>
      </c>
      <c r="H102" s="6">
        <v>161.19334125</v>
      </c>
      <c r="I102" s="30">
        <v>42.047108359999996</v>
      </c>
      <c r="J102" s="30">
        <v>28.911844809999998</v>
      </c>
      <c r="K102" s="6">
        <v>351.02931135</v>
      </c>
      <c r="L102" s="6">
        <v>119.99001887999999</v>
      </c>
      <c r="M102" s="6">
        <v>0</v>
      </c>
      <c r="N102" s="6">
        <v>677.52514890999998</v>
      </c>
      <c r="O102" s="6">
        <v>50.158620330000005</v>
      </c>
      <c r="P102" s="6" t="s">
        <v>69</v>
      </c>
      <c r="Q102" s="6">
        <v>25.444426709999995</v>
      </c>
      <c r="R102" s="6">
        <v>33.445378390000002</v>
      </c>
      <c r="S102" s="6">
        <v>737.85101996000003</v>
      </c>
      <c r="T102" s="6">
        <v>258.12595668</v>
      </c>
      <c r="U102" s="6">
        <v>5.4379074099999993</v>
      </c>
      <c r="V102" s="6">
        <v>1.1109550000000001E-2</v>
      </c>
      <c r="W102" s="6">
        <v>0.17116170999999999</v>
      </c>
      <c r="X102" s="6" t="s">
        <v>69</v>
      </c>
      <c r="Y102" s="6">
        <v>7.1672085700000006</v>
      </c>
      <c r="Z102" s="6">
        <v>1029.5</v>
      </c>
      <c r="AA102" s="6">
        <v>257.86652014999999</v>
      </c>
      <c r="AB102" s="6">
        <v>75.892007300000003</v>
      </c>
      <c r="AC102" s="6">
        <v>26.78281029</v>
      </c>
      <c r="AD102" s="6" t="s">
        <v>69</v>
      </c>
      <c r="AE102" s="6">
        <v>2.5983952000000001</v>
      </c>
    </row>
    <row r="103" spans="1:31" ht="15.75" x14ac:dyDescent="0.25">
      <c r="A103" s="28">
        <v>37895</v>
      </c>
      <c r="B103" s="6">
        <v>1035.3745504399999</v>
      </c>
      <c r="C103" s="6">
        <v>58.820341499999998</v>
      </c>
      <c r="D103" s="6">
        <v>1425.06961869</v>
      </c>
      <c r="E103" s="6">
        <v>988.41858631999992</v>
      </c>
      <c r="F103" s="6">
        <v>123.85852696000001</v>
      </c>
      <c r="G103" s="6">
        <v>556.26996323000003</v>
      </c>
      <c r="H103" s="6">
        <v>155.71842283000001</v>
      </c>
      <c r="I103" s="30">
        <v>45.727743830000016</v>
      </c>
      <c r="J103" s="30">
        <v>18.473283460000001</v>
      </c>
      <c r="K103" s="6">
        <v>492.69715193000002</v>
      </c>
      <c r="L103" s="6">
        <v>110.20352695999999</v>
      </c>
      <c r="M103" s="6">
        <v>0</v>
      </c>
      <c r="N103" s="6">
        <v>704.58379599</v>
      </c>
      <c r="O103" s="6">
        <v>139.01598804</v>
      </c>
      <c r="P103" s="6" t="s">
        <v>69</v>
      </c>
      <c r="Q103" s="6">
        <v>25.879635160000003</v>
      </c>
      <c r="R103" s="6">
        <v>30.609887569999998</v>
      </c>
      <c r="S103" s="6">
        <v>820.46140743000001</v>
      </c>
      <c r="T103" s="6">
        <v>263.11281323000003</v>
      </c>
      <c r="U103" s="6">
        <v>5.9463491900000012</v>
      </c>
      <c r="V103" s="6">
        <v>-59.644554620000001</v>
      </c>
      <c r="W103" s="6">
        <v>0.24675036000000003</v>
      </c>
      <c r="X103" s="6" t="s">
        <v>69</v>
      </c>
      <c r="Y103" s="6">
        <v>8.3184035000000005</v>
      </c>
      <c r="Z103" s="6">
        <v>1063.5</v>
      </c>
      <c r="AA103" s="6">
        <v>261.80631167000001</v>
      </c>
      <c r="AB103" s="6">
        <v>79.098527880000006</v>
      </c>
      <c r="AC103" s="6">
        <v>27.752501029999998</v>
      </c>
      <c r="AD103" s="6" t="s">
        <v>69</v>
      </c>
      <c r="AE103" s="6">
        <v>2.6552353100000001</v>
      </c>
    </row>
    <row r="104" spans="1:31" ht="15.75" x14ac:dyDescent="0.25">
      <c r="A104" s="28">
        <v>37926</v>
      </c>
      <c r="B104" s="6">
        <v>1324.47553726</v>
      </c>
      <c r="C104" s="6">
        <v>53.10284678</v>
      </c>
      <c r="D104" s="6">
        <v>1458.67070597</v>
      </c>
      <c r="E104" s="6">
        <v>904.50558812999998</v>
      </c>
      <c r="F104" s="6">
        <v>127.36245438</v>
      </c>
      <c r="G104" s="6">
        <v>507.78415179000001</v>
      </c>
      <c r="H104" s="6">
        <v>172.90586535</v>
      </c>
      <c r="I104" s="30">
        <v>52.30065089</v>
      </c>
      <c r="J104" s="30">
        <v>17.349561950000002</v>
      </c>
      <c r="K104" s="6">
        <v>360.02124294999999</v>
      </c>
      <c r="L104" s="6">
        <v>120</v>
      </c>
      <c r="M104" s="6">
        <v>0</v>
      </c>
      <c r="N104" s="6">
        <v>701.27716222000004</v>
      </c>
      <c r="O104" s="6">
        <v>28.932964030000001</v>
      </c>
      <c r="P104" s="6" t="s">
        <v>69</v>
      </c>
      <c r="Q104" s="6">
        <v>24.415279789999996</v>
      </c>
      <c r="R104" s="6">
        <v>32.874776969999999</v>
      </c>
      <c r="S104" s="6">
        <v>724.90989965999995</v>
      </c>
      <c r="T104" s="6">
        <v>245.23072155000006</v>
      </c>
      <c r="U104" s="6">
        <v>5.6041575300000002</v>
      </c>
      <c r="V104" s="6">
        <v>-56.645906290000006</v>
      </c>
      <c r="W104" s="6">
        <v>0.10620292000000003</v>
      </c>
      <c r="X104" s="6" t="s">
        <v>69</v>
      </c>
      <c r="Y104" s="6">
        <v>7.7558380000000007</v>
      </c>
      <c r="Z104" s="6">
        <v>1085.4000000000001</v>
      </c>
      <c r="AA104" s="6">
        <v>264.77772561</v>
      </c>
      <c r="AB104" s="6">
        <v>80.741910899999979</v>
      </c>
      <c r="AC104" s="6">
        <v>26.400529890000005</v>
      </c>
      <c r="AD104" s="6" t="s">
        <v>69</v>
      </c>
      <c r="AE104" s="6">
        <v>4.1958731299999981</v>
      </c>
    </row>
    <row r="105" spans="1:31" ht="15.75" x14ac:dyDescent="0.25">
      <c r="A105" s="28">
        <v>37956</v>
      </c>
      <c r="B105" s="6">
        <v>1250.6782431000001</v>
      </c>
      <c r="C105" s="6">
        <v>60.755397270000003</v>
      </c>
      <c r="D105" s="6">
        <v>1493.7938645700003</v>
      </c>
      <c r="E105" s="6">
        <v>935.53786524999987</v>
      </c>
      <c r="F105" s="6">
        <v>120.81483111999999</v>
      </c>
      <c r="G105" s="6">
        <v>570.69940690999999</v>
      </c>
      <c r="H105" s="6">
        <v>189.55694252000001</v>
      </c>
      <c r="I105" s="30">
        <v>50.880347060000005</v>
      </c>
      <c r="J105" s="30">
        <v>35.529364100000009</v>
      </c>
      <c r="K105" s="6">
        <v>348.13770281999996</v>
      </c>
      <c r="L105" s="6">
        <v>120</v>
      </c>
      <c r="M105" s="6">
        <v>0</v>
      </c>
      <c r="N105" s="6">
        <v>993.84563814999979</v>
      </c>
      <c r="O105" s="6">
        <v>122.58239131000001</v>
      </c>
      <c r="P105" s="6" t="s">
        <v>69</v>
      </c>
      <c r="Q105" s="6">
        <v>22.426614069999999</v>
      </c>
      <c r="R105" s="6">
        <v>37.424845469999994</v>
      </c>
      <c r="S105" s="6">
        <v>711.67438985000001</v>
      </c>
      <c r="T105" s="6">
        <v>235.39463611000002</v>
      </c>
      <c r="U105" s="6">
        <v>6.2274930300000007</v>
      </c>
      <c r="V105" s="6">
        <v>-39.893669770000002</v>
      </c>
      <c r="W105" s="6">
        <v>0.29560378999999998</v>
      </c>
      <c r="X105" s="6" t="s">
        <v>69</v>
      </c>
      <c r="Y105" s="6">
        <v>7.8597060299999999</v>
      </c>
      <c r="Z105" s="6">
        <v>1111.4000000000001</v>
      </c>
      <c r="AA105" s="6">
        <v>272.92031334000001</v>
      </c>
      <c r="AB105" s="6">
        <v>81.038506819999995</v>
      </c>
      <c r="AC105" s="6">
        <v>24.494035179999994</v>
      </c>
      <c r="AD105" s="6" t="s">
        <v>69</v>
      </c>
      <c r="AE105" s="6">
        <v>3.3210283800000018</v>
      </c>
    </row>
    <row r="106" spans="1:31" ht="15.75" x14ac:dyDescent="0.25">
      <c r="A106" s="28">
        <v>37987</v>
      </c>
      <c r="B106" s="6">
        <v>1227</v>
      </c>
      <c r="C106" s="6">
        <v>54.2</v>
      </c>
      <c r="D106" s="6">
        <v>1869.3</v>
      </c>
      <c r="E106" s="6">
        <v>837.2</v>
      </c>
      <c r="F106" s="6">
        <v>119.4</v>
      </c>
      <c r="G106" s="6">
        <v>606.9</v>
      </c>
      <c r="H106" s="6">
        <v>191.11271687999999</v>
      </c>
      <c r="I106" s="6">
        <v>52.453128639999996</v>
      </c>
      <c r="J106" s="6">
        <v>26.769039869999997</v>
      </c>
      <c r="K106" s="6">
        <v>216.8</v>
      </c>
      <c r="L106" s="6">
        <v>100</v>
      </c>
      <c r="M106" s="6">
        <v>0</v>
      </c>
      <c r="N106" s="6">
        <v>394.31939114999994</v>
      </c>
      <c r="O106" s="6">
        <v>29.9</v>
      </c>
      <c r="P106" s="6" t="s">
        <v>69</v>
      </c>
      <c r="Q106" s="6">
        <v>28.337778549999996</v>
      </c>
      <c r="R106" s="6">
        <v>34.974500279999994</v>
      </c>
      <c r="S106" s="6">
        <v>639.70000000000005</v>
      </c>
      <c r="T106" s="6">
        <v>219.46774791999999</v>
      </c>
      <c r="U106" s="6">
        <v>5.7174369500000006</v>
      </c>
      <c r="V106" s="6">
        <v>30.007089430000001</v>
      </c>
      <c r="W106" s="6">
        <v>0.41242788000000002</v>
      </c>
      <c r="X106" s="6" t="s">
        <v>69</v>
      </c>
      <c r="Y106" s="6">
        <v>42.489013589999999</v>
      </c>
      <c r="Z106" s="6">
        <v>1643.1</v>
      </c>
      <c r="AA106" s="6">
        <v>391.12305447000011</v>
      </c>
      <c r="AB106" s="6">
        <v>116.89332383000003</v>
      </c>
      <c r="AC106" s="6">
        <v>31.126510969999998</v>
      </c>
      <c r="AD106" s="6" t="s">
        <v>69</v>
      </c>
      <c r="AE106" s="6">
        <v>7.2530891399999957</v>
      </c>
    </row>
    <row r="107" spans="1:31" ht="15.75" x14ac:dyDescent="0.25">
      <c r="A107" s="28">
        <v>38018</v>
      </c>
      <c r="B107" s="6">
        <v>1008.1</v>
      </c>
      <c r="C107" s="6">
        <v>50.6</v>
      </c>
      <c r="D107" s="6">
        <v>1575.5</v>
      </c>
      <c r="E107" s="6">
        <v>774.7</v>
      </c>
      <c r="F107" s="6">
        <v>120.2</v>
      </c>
      <c r="G107" s="6">
        <v>514.4</v>
      </c>
      <c r="H107" s="6">
        <v>173.97567599000001</v>
      </c>
      <c r="I107" s="6">
        <v>54.638753449999996</v>
      </c>
      <c r="J107" s="6">
        <v>20.993711700000002</v>
      </c>
      <c r="K107" s="6">
        <v>196.7</v>
      </c>
      <c r="L107" s="6">
        <v>100</v>
      </c>
      <c r="M107" s="6">
        <v>1.0907350000000001E-2</v>
      </c>
      <c r="N107" s="6">
        <v>673.89254419999997</v>
      </c>
      <c r="O107" s="6">
        <v>110.6</v>
      </c>
      <c r="P107" s="6" t="s">
        <v>69</v>
      </c>
      <c r="Q107" s="6">
        <v>24.40373744</v>
      </c>
      <c r="R107" s="6">
        <v>31.92357067</v>
      </c>
      <c r="S107" s="6">
        <v>625.6</v>
      </c>
      <c r="T107" s="6">
        <v>197.05867813999998</v>
      </c>
      <c r="U107" s="6">
        <v>5.31854914</v>
      </c>
      <c r="V107" s="6">
        <v>3.39755E-3</v>
      </c>
      <c r="W107" s="6">
        <v>0.21717962999999998</v>
      </c>
      <c r="X107" s="6" t="s">
        <v>69</v>
      </c>
      <c r="Y107" s="6">
        <v>32.320254099999993</v>
      </c>
      <c r="Z107" s="6">
        <v>1225.2</v>
      </c>
      <c r="AA107" s="6">
        <v>301.64712180999999</v>
      </c>
      <c r="AB107" s="6">
        <v>92.35918421999996</v>
      </c>
      <c r="AC107" s="6">
        <v>27.265869910000006</v>
      </c>
      <c r="AD107" s="6" t="s">
        <v>69</v>
      </c>
      <c r="AE107" s="6">
        <v>-7.0595385199999976</v>
      </c>
    </row>
    <row r="108" spans="1:31" ht="15.75" x14ac:dyDescent="0.25">
      <c r="A108" s="28">
        <v>38047</v>
      </c>
      <c r="B108" s="6">
        <v>976.4</v>
      </c>
      <c r="C108" s="6">
        <v>62.9</v>
      </c>
      <c r="D108" s="6">
        <v>1524.3</v>
      </c>
      <c r="E108" s="6">
        <v>964.3</v>
      </c>
      <c r="F108" s="6">
        <v>120.6</v>
      </c>
      <c r="G108" s="6">
        <v>607.29999999999995</v>
      </c>
      <c r="H108" s="6">
        <v>196.41876811999998</v>
      </c>
      <c r="I108" s="6">
        <v>52.173549280000003</v>
      </c>
      <c r="J108" s="6">
        <v>36.869752980000001</v>
      </c>
      <c r="K108" s="6">
        <v>186.8</v>
      </c>
      <c r="L108" s="6">
        <v>100</v>
      </c>
      <c r="M108" s="6">
        <v>1.285234E-2</v>
      </c>
      <c r="N108" s="6">
        <v>679.85447006999993</v>
      </c>
      <c r="O108" s="6">
        <v>23.4</v>
      </c>
      <c r="P108" s="6" t="s">
        <v>69</v>
      </c>
      <c r="Q108" s="6">
        <v>27.845591680000005</v>
      </c>
      <c r="R108" s="6">
        <v>31.919241939999999</v>
      </c>
      <c r="S108" s="6">
        <v>700.7</v>
      </c>
      <c r="T108" s="6">
        <v>242.45542931</v>
      </c>
      <c r="U108" s="6">
        <v>6.3333190899999998</v>
      </c>
      <c r="V108" s="6">
        <v>-1.79608798</v>
      </c>
      <c r="W108" s="6">
        <v>0.20993966</v>
      </c>
      <c r="X108" s="6" t="s">
        <v>69</v>
      </c>
      <c r="Y108" s="6">
        <v>33.306189340000003</v>
      </c>
      <c r="Z108" s="6">
        <v>1181.4000000000001</v>
      </c>
      <c r="AA108" s="6">
        <v>295.08459015</v>
      </c>
      <c r="AB108" s="6">
        <v>96.936409130000015</v>
      </c>
      <c r="AC108" s="6">
        <v>31.162105400000005</v>
      </c>
      <c r="AD108" s="6" t="s">
        <v>69</v>
      </c>
      <c r="AE108" s="6">
        <v>3.5474525400000054</v>
      </c>
    </row>
    <row r="109" spans="1:31" ht="15.75" x14ac:dyDescent="0.25">
      <c r="A109" s="28">
        <v>38078</v>
      </c>
      <c r="B109" s="6">
        <v>1117.94723559</v>
      </c>
      <c r="C109" s="6">
        <v>57.61794587</v>
      </c>
      <c r="D109" s="6">
        <v>1576.2787102499999</v>
      </c>
      <c r="E109" s="6">
        <v>916.51567105000004</v>
      </c>
      <c r="F109" s="6">
        <v>112.12041144</v>
      </c>
      <c r="G109" s="6">
        <v>571.80479722999996</v>
      </c>
      <c r="H109" s="6">
        <v>141.41231207000001</v>
      </c>
      <c r="I109" s="6">
        <v>61.084837629999988</v>
      </c>
      <c r="J109" s="6">
        <v>14.624996289999999</v>
      </c>
      <c r="K109" s="6">
        <v>194.34139848999999</v>
      </c>
      <c r="L109" s="6">
        <v>130</v>
      </c>
      <c r="M109" s="6">
        <v>0</v>
      </c>
      <c r="N109" s="6">
        <v>825.1439892799998</v>
      </c>
      <c r="O109" s="6">
        <v>74.057174849999996</v>
      </c>
      <c r="P109" s="6" t="s">
        <v>69</v>
      </c>
      <c r="Q109" s="6">
        <v>26.181868910000009</v>
      </c>
      <c r="R109" s="6">
        <v>33.320550019999999</v>
      </c>
      <c r="S109" s="6">
        <v>1031.3109612999999</v>
      </c>
      <c r="T109" s="6">
        <v>232.97724498000005</v>
      </c>
      <c r="U109" s="6">
        <v>6.4331929700000012</v>
      </c>
      <c r="V109" s="6">
        <v>-0.98745151999999992</v>
      </c>
      <c r="W109" s="6">
        <v>0.33679978000000005</v>
      </c>
      <c r="X109" s="6" t="s">
        <v>69</v>
      </c>
      <c r="Y109" s="6">
        <v>29.659777730000009</v>
      </c>
      <c r="Z109" s="6">
        <v>1209.2</v>
      </c>
      <c r="AA109" s="6">
        <v>296.44506833999998</v>
      </c>
      <c r="AB109" s="6">
        <v>96.464124300000009</v>
      </c>
      <c r="AC109" s="6">
        <v>29.575207609999993</v>
      </c>
      <c r="AD109" s="6" t="s">
        <v>69</v>
      </c>
      <c r="AE109" s="6">
        <v>1.743365249999995</v>
      </c>
    </row>
    <row r="110" spans="1:31" ht="15.75" x14ac:dyDescent="0.25">
      <c r="A110" s="28">
        <v>38108</v>
      </c>
      <c r="B110" s="6">
        <v>5365.85699948</v>
      </c>
      <c r="C110" s="6">
        <v>66.620735279999991</v>
      </c>
      <c r="D110" s="6">
        <v>1578.0329220599999</v>
      </c>
      <c r="E110" s="6">
        <v>1089.21498023</v>
      </c>
      <c r="F110" s="6">
        <v>112.82011113999999</v>
      </c>
      <c r="G110" s="6">
        <v>670.13762697000004</v>
      </c>
      <c r="H110" s="6">
        <v>184.50399257999999</v>
      </c>
      <c r="I110" s="6">
        <v>58.99132281</v>
      </c>
      <c r="J110" s="6">
        <v>34.289595199999987</v>
      </c>
      <c r="K110" s="6">
        <v>195.08432751000001</v>
      </c>
      <c r="L110" s="6">
        <v>100</v>
      </c>
      <c r="M110" s="6">
        <v>0</v>
      </c>
      <c r="N110" s="6">
        <v>826.85606610000002</v>
      </c>
      <c r="O110" s="6">
        <v>680.82509431000005</v>
      </c>
      <c r="P110" s="6" t="s">
        <v>69</v>
      </c>
      <c r="Q110" s="6">
        <v>26.648548380000005</v>
      </c>
      <c r="R110" s="6">
        <v>34.114973150000004</v>
      </c>
      <c r="S110" s="6">
        <v>1081.6158324200001</v>
      </c>
      <c r="T110" s="6">
        <v>248.9278487</v>
      </c>
      <c r="U110" s="6">
        <v>6.4403895699999998</v>
      </c>
      <c r="V110" s="6">
        <v>-2.5065031499999999</v>
      </c>
      <c r="W110" s="6">
        <v>0.19245480000000001</v>
      </c>
      <c r="X110" s="6" t="s">
        <v>69</v>
      </c>
      <c r="Y110" s="6">
        <v>33.317394020000002</v>
      </c>
      <c r="Z110" s="6">
        <v>1315.7</v>
      </c>
      <c r="AA110" s="6">
        <v>312.50783174999998</v>
      </c>
      <c r="AB110" s="6">
        <v>99.744685130000022</v>
      </c>
      <c r="AC110" s="6">
        <v>29.739130070000002</v>
      </c>
      <c r="AD110" s="6" t="s">
        <v>69</v>
      </c>
      <c r="AE110" s="6">
        <v>13.651879199999996</v>
      </c>
    </row>
    <row r="111" spans="1:31" ht="15.75" x14ac:dyDescent="0.25">
      <c r="A111" s="28">
        <v>38139</v>
      </c>
      <c r="B111" s="6">
        <v>2830.8041929700003</v>
      </c>
      <c r="C111" s="6">
        <v>82.126302780000003</v>
      </c>
      <c r="D111" s="6">
        <v>1766.8512348699999</v>
      </c>
      <c r="E111" s="6">
        <v>1227.7428943899999</v>
      </c>
      <c r="F111" s="6">
        <v>100.11365128</v>
      </c>
      <c r="G111" s="6">
        <v>652.07378001999996</v>
      </c>
      <c r="H111" s="6">
        <v>177.03552626000001</v>
      </c>
      <c r="I111" s="6">
        <v>55.206101330000003</v>
      </c>
      <c r="J111" s="6">
        <v>25.824685229999996</v>
      </c>
      <c r="K111" s="6">
        <v>95.150188459999995</v>
      </c>
      <c r="L111" s="6">
        <v>120</v>
      </c>
      <c r="M111" s="6">
        <v>1.285234E-2</v>
      </c>
      <c r="N111" s="6">
        <v>720.95078828999999</v>
      </c>
      <c r="O111" s="6">
        <v>213.59723756</v>
      </c>
      <c r="P111" s="6" t="s">
        <v>69</v>
      </c>
      <c r="Q111" s="6">
        <v>9.3610626400000001</v>
      </c>
      <c r="R111" s="6">
        <v>33.045203119999989</v>
      </c>
      <c r="S111" s="6">
        <v>858.15551893999998</v>
      </c>
      <c r="T111" s="6">
        <v>278.32569353000002</v>
      </c>
      <c r="U111" s="6">
        <v>7.0268435199999981</v>
      </c>
      <c r="V111" s="6">
        <v>-3.26628199</v>
      </c>
      <c r="W111" s="6">
        <v>0.34889740000000002</v>
      </c>
      <c r="X111" s="6" t="s">
        <v>69</v>
      </c>
      <c r="Y111" s="6">
        <v>37.135465330000002</v>
      </c>
      <c r="Z111" s="6">
        <v>1236.8</v>
      </c>
      <c r="AA111" s="6">
        <v>298.93566052</v>
      </c>
      <c r="AB111" s="6">
        <v>98.958261960000016</v>
      </c>
      <c r="AC111" s="6">
        <v>12.682606709999998</v>
      </c>
      <c r="AD111" s="6" t="s">
        <v>69</v>
      </c>
      <c r="AE111" s="6">
        <v>6.674173580000005</v>
      </c>
    </row>
    <row r="112" spans="1:31" ht="15.75" x14ac:dyDescent="0.25">
      <c r="A112" s="28">
        <v>38169</v>
      </c>
      <c r="B112" s="6">
        <v>1553.5964710100002</v>
      </c>
      <c r="C112" s="6">
        <v>85.16467990000001</v>
      </c>
      <c r="D112" s="6">
        <v>1717.7804348000002</v>
      </c>
      <c r="E112" s="6">
        <v>1188.7254767300001</v>
      </c>
      <c r="F112" s="6">
        <v>91.332184459999993</v>
      </c>
      <c r="G112" s="6">
        <v>673.02197815</v>
      </c>
      <c r="H112" s="6">
        <v>171.58916787999999</v>
      </c>
      <c r="I112" s="6">
        <v>62.308378699999984</v>
      </c>
      <c r="J112" s="6">
        <v>25.054751519999993</v>
      </c>
      <c r="K112" s="6">
        <v>88.347106190000005</v>
      </c>
      <c r="L112" s="6">
        <v>155</v>
      </c>
      <c r="M112" s="6">
        <v>0</v>
      </c>
      <c r="N112" s="6">
        <v>704.81718239999998</v>
      </c>
      <c r="O112" s="6">
        <v>101.48497896999999</v>
      </c>
      <c r="P112" s="6" t="s">
        <v>69</v>
      </c>
      <c r="Q112" s="6">
        <v>63.989730570000006</v>
      </c>
      <c r="R112" s="6">
        <v>35.342950489999993</v>
      </c>
      <c r="S112" s="6">
        <v>990.05164188999993</v>
      </c>
      <c r="T112" s="6">
        <v>281.38489478000002</v>
      </c>
      <c r="U112" s="6">
        <v>7.1017643100000001</v>
      </c>
      <c r="V112" s="6">
        <v>-4.9911076400000001</v>
      </c>
      <c r="W112" s="6">
        <v>0.22846538999999999</v>
      </c>
      <c r="X112" s="6" t="s">
        <v>69</v>
      </c>
      <c r="Y112" s="6">
        <v>36.017790339999998</v>
      </c>
      <c r="Z112" s="6">
        <v>1830.7</v>
      </c>
      <c r="AA112" s="6">
        <v>442.07696561999984</v>
      </c>
      <c r="AB112" s="6">
        <v>130.66580289999999</v>
      </c>
      <c r="AC112" s="6">
        <v>56.883571629999992</v>
      </c>
      <c r="AD112" s="6" t="s">
        <v>69</v>
      </c>
      <c r="AE112" s="6">
        <v>83.180666779999996</v>
      </c>
    </row>
    <row r="113" spans="1:31" ht="15.75" x14ac:dyDescent="0.25">
      <c r="A113" s="28">
        <v>38200</v>
      </c>
      <c r="B113" s="6">
        <v>1648.1130331900001</v>
      </c>
      <c r="C113" s="6">
        <v>89.6736918</v>
      </c>
      <c r="D113" s="6">
        <v>1796.6449988300001</v>
      </c>
      <c r="E113" s="6">
        <v>1202.28008585</v>
      </c>
      <c r="F113" s="6">
        <v>83.723908890000004</v>
      </c>
      <c r="G113" s="6">
        <v>652.38056314000005</v>
      </c>
      <c r="H113" s="6">
        <v>198.56903083</v>
      </c>
      <c r="I113" s="6">
        <v>62.655562549999999</v>
      </c>
      <c r="J113" s="6">
        <v>30.41718646</v>
      </c>
      <c r="K113" s="6">
        <v>132.45520654000001</v>
      </c>
      <c r="L113" s="6">
        <v>165</v>
      </c>
      <c r="M113" s="6">
        <v>0</v>
      </c>
      <c r="N113" s="6">
        <v>780.01182807000009</v>
      </c>
      <c r="O113" s="6">
        <v>127.75675595999999</v>
      </c>
      <c r="P113" s="6" t="s">
        <v>69</v>
      </c>
      <c r="Q113" s="6">
        <v>52.046575990000008</v>
      </c>
      <c r="R113" s="6">
        <v>38.304392140000012</v>
      </c>
      <c r="S113" s="6">
        <v>886.05102091000003</v>
      </c>
      <c r="T113" s="6">
        <v>291.25456303000004</v>
      </c>
      <c r="U113" s="6">
        <v>7.3261298599999991</v>
      </c>
      <c r="V113" s="6">
        <v>5.2083099999999998E-3</v>
      </c>
      <c r="W113" s="6">
        <v>0.25947799999999993</v>
      </c>
      <c r="X113" s="6" t="s">
        <v>69</v>
      </c>
      <c r="Y113" s="6">
        <v>39.457227029999999</v>
      </c>
      <c r="Z113" s="6">
        <v>1299.5</v>
      </c>
      <c r="AA113" s="6">
        <v>314.28403418000005</v>
      </c>
      <c r="AB113" s="6">
        <v>104.64011156999999</v>
      </c>
      <c r="AC113" s="6">
        <v>41.088980079999999</v>
      </c>
      <c r="AD113" s="6" t="s">
        <v>69</v>
      </c>
      <c r="AE113" s="6">
        <v>146.79946333000001</v>
      </c>
    </row>
    <row r="114" spans="1:31" ht="15.75" x14ac:dyDescent="0.25">
      <c r="A114" s="28">
        <v>38231</v>
      </c>
      <c r="B114" s="6">
        <v>1417.5</v>
      </c>
      <c r="C114" s="6">
        <v>82.2</v>
      </c>
      <c r="D114" s="6">
        <v>1757.9</v>
      </c>
      <c r="E114" s="6">
        <v>1152.3</v>
      </c>
      <c r="F114" s="6">
        <v>90.1</v>
      </c>
      <c r="G114" s="6">
        <v>665.1</v>
      </c>
      <c r="H114" s="6">
        <v>192.93004870999999</v>
      </c>
      <c r="I114" s="6">
        <v>68.76517582999999</v>
      </c>
      <c r="J114" s="6">
        <v>27.671802599999996</v>
      </c>
      <c r="K114" s="6">
        <v>151.19999999999999</v>
      </c>
      <c r="L114" s="6">
        <v>100</v>
      </c>
      <c r="M114" s="6">
        <v>-1.285234E-2</v>
      </c>
      <c r="N114" s="6">
        <v>686.7596926299999</v>
      </c>
      <c r="O114" s="6">
        <v>30.7</v>
      </c>
      <c r="P114" s="6" t="s">
        <v>69</v>
      </c>
      <c r="Q114" s="6">
        <v>72.93705215</v>
      </c>
      <c r="R114" s="6">
        <v>35.885489870000008</v>
      </c>
      <c r="S114" s="6">
        <v>880.8</v>
      </c>
      <c r="T114" s="6">
        <v>292.41883194999997</v>
      </c>
      <c r="U114" s="6">
        <v>7.3537294500000003</v>
      </c>
      <c r="V114" s="6">
        <v>-2.1878788599999996</v>
      </c>
      <c r="W114" s="6">
        <v>0.40639463000000009</v>
      </c>
      <c r="X114" s="6" t="s">
        <v>69</v>
      </c>
      <c r="Y114" s="6">
        <v>39.409302309999994</v>
      </c>
      <c r="Z114" s="6">
        <v>1499.7</v>
      </c>
      <c r="AA114" s="6">
        <v>314.83267544999984</v>
      </c>
      <c r="AB114" s="6">
        <v>103.38702038000001</v>
      </c>
      <c r="AC114" s="6">
        <v>60.674349719999995</v>
      </c>
      <c r="AD114" s="6" t="s">
        <v>69</v>
      </c>
      <c r="AE114" s="6">
        <v>-165.67588929000001</v>
      </c>
    </row>
    <row r="115" spans="1:31" ht="15.75" x14ac:dyDescent="0.25">
      <c r="A115" s="28">
        <v>38261</v>
      </c>
      <c r="B115" s="6">
        <v>1613.1</v>
      </c>
      <c r="C115" s="6">
        <v>79.3</v>
      </c>
      <c r="D115" s="6">
        <v>1660.2</v>
      </c>
      <c r="E115" s="6">
        <v>1108.7</v>
      </c>
      <c r="F115" s="6">
        <v>91.1</v>
      </c>
      <c r="G115" s="6">
        <v>644.29999999999995</v>
      </c>
      <c r="H115" s="6">
        <v>200.91760833000001</v>
      </c>
      <c r="I115" s="6">
        <v>68.128464939999972</v>
      </c>
      <c r="J115" s="6">
        <v>23.370565200000001</v>
      </c>
      <c r="K115" s="6">
        <v>199.3</v>
      </c>
      <c r="L115" s="6">
        <v>120</v>
      </c>
      <c r="M115" s="6">
        <v>0</v>
      </c>
      <c r="N115" s="6">
        <v>744.73915193999994</v>
      </c>
      <c r="O115" s="6">
        <v>127.2</v>
      </c>
      <c r="P115" s="6" t="s">
        <v>69</v>
      </c>
      <c r="Q115" s="6">
        <v>58.570600829999997</v>
      </c>
      <c r="R115" s="6">
        <v>33.58519046</v>
      </c>
      <c r="S115" s="6">
        <v>894.1</v>
      </c>
      <c r="T115" s="6">
        <v>264.62381847</v>
      </c>
      <c r="U115" s="6">
        <v>6.8837612600000009</v>
      </c>
      <c r="V115" s="6">
        <v>4.6434900000000001E-3</v>
      </c>
      <c r="W115" s="6">
        <v>0.36259052999999997</v>
      </c>
      <c r="X115" s="6" t="s">
        <v>69</v>
      </c>
      <c r="Y115" s="6">
        <v>35.559568970000008</v>
      </c>
      <c r="Z115" s="6">
        <v>1363.4</v>
      </c>
      <c r="AA115" s="6">
        <v>310.30435505999992</v>
      </c>
      <c r="AB115" s="6">
        <v>104.41318914000001</v>
      </c>
      <c r="AC115" s="6">
        <v>47.500169449999987</v>
      </c>
      <c r="AD115" s="6" t="s">
        <v>69</v>
      </c>
      <c r="AE115" s="6">
        <v>5.2183992099999905</v>
      </c>
    </row>
    <row r="116" spans="1:31" ht="15.75" x14ac:dyDescent="0.25">
      <c r="A116" s="28">
        <v>38292</v>
      </c>
      <c r="B116" s="6">
        <v>1645.4</v>
      </c>
      <c r="C116" s="6">
        <v>90.8</v>
      </c>
      <c r="D116" s="6">
        <v>1671.5</v>
      </c>
      <c r="E116" s="6">
        <v>1280.5</v>
      </c>
      <c r="F116" s="6">
        <v>90.3</v>
      </c>
      <c r="G116" s="6">
        <v>686.7</v>
      </c>
      <c r="H116" s="6">
        <v>215.51179021999997</v>
      </c>
      <c r="I116" s="6">
        <v>70.810362589999997</v>
      </c>
      <c r="J116" s="6">
        <v>38.194312149999988</v>
      </c>
      <c r="K116" s="6">
        <v>265.89999999999998</v>
      </c>
      <c r="L116" s="6">
        <v>250</v>
      </c>
      <c r="M116" s="6">
        <v>-5.2210220000000002E-2</v>
      </c>
      <c r="N116" s="6">
        <v>810.97756419000007</v>
      </c>
      <c r="O116" s="6">
        <v>24.9</v>
      </c>
      <c r="P116" s="6" t="s">
        <v>69</v>
      </c>
      <c r="Q116" s="6">
        <v>54.986884469999993</v>
      </c>
      <c r="R116" s="6">
        <v>35.403306450000002</v>
      </c>
      <c r="S116" s="6">
        <v>816.9</v>
      </c>
      <c r="T116" s="6">
        <v>321.83361769999999</v>
      </c>
      <c r="U116" s="6">
        <v>8.4718686599999984</v>
      </c>
      <c r="V116" s="6">
        <v>-2.3972935</v>
      </c>
      <c r="W116" s="6">
        <v>0.19613666000000005</v>
      </c>
      <c r="X116" s="6" t="s">
        <v>69</v>
      </c>
      <c r="Y116" s="6">
        <v>42.390840710000013</v>
      </c>
      <c r="Z116" s="6">
        <v>1369.4</v>
      </c>
      <c r="AA116" s="6">
        <v>323.04927818000004</v>
      </c>
      <c r="AB116" s="6">
        <v>107.36475861999998</v>
      </c>
      <c r="AC116" s="6">
        <v>44.329858049999991</v>
      </c>
      <c r="AD116" s="6" t="s">
        <v>69</v>
      </c>
      <c r="AE116" s="6">
        <v>36.73886155000001</v>
      </c>
    </row>
    <row r="117" spans="1:31" ht="15.75" x14ac:dyDescent="0.25">
      <c r="A117" s="28">
        <v>38322</v>
      </c>
      <c r="B117" s="6">
        <v>998.2</v>
      </c>
      <c r="C117" s="6">
        <v>85.9</v>
      </c>
      <c r="D117" s="6">
        <v>1773.4</v>
      </c>
      <c r="E117" s="6">
        <v>1237.2</v>
      </c>
      <c r="F117" s="6">
        <v>91.9</v>
      </c>
      <c r="G117" s="6">
        <v>737.8</v>
      </c>
      <c r="H117" s="6">
        <v>252.66889031000005</v>
      </c>
      <c r="I117" s="6">
        <v>76.755758499999999</v>
      </c>
      <c r="J117" s="6">
        <v>39.319464829999994</v>
      </c>
      <c r="K117" s="6">
        <v>348.3</v>
      </c>
      <c r="L117" s="6">
        <v>124</v>
      </c>
      <c r="M117" s="6">
        <v>0</v>
      </c>
      <c r="N117" s="6">
        <v>1256.04883711</v>
      </c>
      <c r="O117" s="6">
        <v>116.5</v>
      </c>
      <c r="P117" s="6" t="s">
        <v>69</v>
      </c>
      <c r="Q117" s="6">
        <v>54.067122950000005</v>
      </c>
      <c r="R117" s="6">
        <v>37.917401369999993</v>
      </c>
      <c r="S117" s="6">
        <v>867</v>
      </c>
      <c r="T117" s="6">
        <v>297.64173138000001</v>
      </c>
      <c r="U117" s="6">
        <v>7.6763629600000014</v>
      </c>
      <c r="V117" s="6">
        <v>-0.79757874999999989</v>
      </c>
      <c r="W117" s="6">
        <v>0.44300864000000001</v>
      </c>
      <c r="X117" s="6" t="s">
        <v>69</v>
      </c>
      <c r="Y117" s="6">
        <v>38.51535595</v>
      </c>
      <c r="Z117" s="6">
        <v>1367.9</v>
      </c>
      <c r="AA117" s="6">
        <v>331.91845559999996</v>
      </c>
      <c r="AB117" s="6">
        <v>108.10676725000002</v>
      </c>
      <c r="AC117" s="6">
        <v>43.954795430000004</v>
      </c>
      <c r="AD117" s="6" t="s">
        <v>69</v>
      </c>
      <c r="AE117" s="6">
        <v>56.267552600000002</v>
      </c>
    </row>
    <row r="118" spans="1:31" ht="15.75" x14ac:dyDescent="0.25">
      <c r="A118" s="28">
        <v>38353</v>
      </c>
      <c r="B118" s="6">
        <v>1650.3</v>
      </c>
      <c r="C118" s="6">
        <v>78.2</v>
      </c>
      <c r="D118" s="6">
        <v>2103.4</v>
      </c>
      <c r="E118" s="6">
        <v>1084.0999999999999</v>
      </c>
      <c r="F118" s="6">
        <v>108.3</v>
      </c>
      <c r="G118" s="6">
        <v>688.4</v>
      </c>
      <c r="H118" s="6">
        <v>214.74112006999999</v>
      </c>
      <c r="I118" s="6">
        <v>85.571351179999994</v>
      </c>
      <c r="J118" s="6">
        <v>29.476796869999998</v>
      </c>
      <c r="K118" s="6">
        <v>217.5</v>
      </c>
      <c r="L118" s="6">
        <v>120</v>
      </c>
      <c r="M118" s="6">
        <v>0</v>
      </c>
      <c r="N118" s="6">
        <v>449.24749033000001</v>
      </c>
      <c r="O118" s="6">
        <v>25.2</v>
      </c>
      <c r="P118" s="6" t="s">
        <v>69</v>
      </c>
      <c r="Q118" s="6">
        <v>57.209001520000015</v>
      </c>
      <c r="R118" s="6">
        <v>42.551591099999492</v>
      </c>
      <c r="S118" s="6">
        <v>829.7</v>
      </c>
      <c r="T118" s="6">
        <v>254.45134503000003</v>
      </c>
      <c r="U118" s="6">
        <v>6.9607060199999991</v>
      </c>
      <c r="V118" s="6">
        <v>-0.49329513000000003</v>
      </c>
      <c r="W118" s="6">
        <v>0.35418628999999996</v>
      </c>
      <c r="X118" s="6" t="s">
        <v>69</v>
      </c>
      <c r="Y118" s="6">
        <v>35.107884320000004</v>
      </c>
      <c r="Z118" s="6">
        <v>1967</v>
      </c>
      <c r="AA118" s="6">
        <v>473.63603200000006</v>
      </c>
      <c r="AB118" s="6">
        <v>143.14037579999999</v>
      </c>
      <c r="AC118" s="6">
        <v>45.601786419999996</v>
      </c>
      <c r="AD118" s="6" t="s">
        <v>69</v>
      </c>
      <c r="AE118" s="6">
        <v>39.198350599999991</v>
      </c>
    </row>
    <row r="119" spans="1:31" ht="15.75" x14ac:dyDescent="0.25">
      <c r="A119" s="28">
        <v>38384</v>
      </c>
      <c r="B119" s="6">
        <v>1783</v>
      </c>
      <c r="C119" s="6">
        <v>72.7</v>
      </c>
      <c r="D119" s="6">
        <v>1686.6</v>
      </c>
      <c r="E119" s="6">
        <v>1055.9000000000001</v>
      </c>
      <c r="F119" s="6">
        <v>90.1</v>
      </c>
      <c r="G119" s="6">
        <v>648.1</v>
      </c>
      <c r="H119" s="6">
        <v>217.69643099000001</v>
      </c>
      <c r="I119" s="6">
        <v>64.267209100000002</v>
      </c>
      <c r="J119" s="6">
        <v>23.860031309999997</v>
      </c>
      <c r="K119" s="6">
        <v>197.3</v>
      </c>
      <c r="L119" s="6">
        <v>120</v>
      </c>
      <c r="M119" s="6">
        <v>0</v>
      </c>
      <c r="N119" s="6">
        <v>858.19695373000002</v>
      </c>
      <c r="O119" s="6">
        <v>108.4</v>
      </c>
      <c r="P119" s="6" t="s">
        <v>69</v>
      </c>
      <c r="Q119" s="6">
        <v>62.154714539999993</v>
      </c>
      <c r="R119" s="6">
        <v>42.156359779999505</v>
      </c>
      <c r="S119" s="6">
        <v>768.9</v>
      </c>
      <c r="T119" s="6">
        <v>250.36786557999994</v>
      </c>
      <c r="U119" s="6">
        <v>6.6392997699999992</v>
      </c>
      <c r="V119" s="6">
        <v>-0.99410053999999992</v>
      </c>
      <c r="W119" s="6">
        <v>0.28745850000000001</v>
      </c>
      <c r="X119" s="6" t="s">
        <v>69</v>
      </c>
      <c r="Y119" s="6">
        <v>37.050557829999995</v>
      </c>
      <c r="Z119" s="6">
        <v>1576.6</v>
      </c>
      <c r="AA119" s="6">
        <v>361.00177641999994</v>
      </c>
      <c r="AB119" s="6">
        <v>114.39622524000004</v>
      </c>
      <c r="AC119" s="6">
        <v>47.707929710000016</v>
      </c>
      <c r="AD119" s="6" t="s">
        <v>69</v>
      </c>
      <c r="AE119" s="6">
        <v>-62.699818329999978</v>
      </c>
    </row>
    <row r="120" spans="1:31" ht="15.75" x14ac:dyDescent="0.25">
      <c r="A120" s="28">
        <v>38412</v>
      </c>
      <c r="B120" s="6">
        <v>1648</v>
      </c>
      <c r="C120" s="6">
        <v>84.8</v>
      </c>
      <c r="D120" s="6">
        <v>1728.2</v>
      </c>
      <c r="E120" s="6">
        <v>1199.4000000000001</v>
      </c>
      <c r="F120" s="6">
        <v>92.3</v>
      </c>
      <c r="G120" s="6">
        <v>723.9</v>
      </c>
      <c r="H120" s="6">
        <v>219.04427688999996</v>
      </c>
      <c r="I120" s="6">
        <v>62.041843599999993</v>
      </c>
      <c r="J120" s="6">
        <v>42.791136239999993</v>
      </c>
      <c r="K120" s="6">
        <v>191.2</v>
      </c>
      <c r="L120" s="6">
        <v>130</v>
      </c>
      <c r="M120" s="6">
        <v>0</v>
      </c>
      <c r="N120" s="6">
        <v>731.18853289999993</v>
      </c>
      <c r="O120" s="6">
        <v>25.2</v>
      </c>
      <c r="P120" s="6" t="s">
        <v>69</v>
      </c>
      <c r="Q120" s="6">
        <v>61.854013349999995</v>
      </c>
      <c r="R120" s="6">
        <v>37.757882239999802</v>
      </c>
      <c r="S120" s="6">
        <v>970.4</v>
      </c>
      <c r="T120" s="6">
        <v>276.22282175999999</v>
      </c>
      <c r="U120" s="6">
        <v>7.3754623099999996</v>
      </c>
      <c r="V120" s="6">
        <v>-1.64856504</v>
      </c>
      <c r="W120" s="6">
        <v>0.3843075600000001</v>
      </c>
      <c r="X120" s="6" t="s">
        <v>69</v>
      </c>
      <c r="Y120" s="6">
        <v>41.041951859999998</v>
      </c>
      <c r="Z120" s="6">
        <v>1393.3</v>
      </c>
      <c r="AA120" s="6">
        <v>347.50876437000005</v>
      </c>
      <c r="AB120" s="6">
        <v>117.34834393</v>
      </c>
      <c r="AC120" s="6">
        <v>47.67919810999998</v>
      </c>
      <c r="AD120" s="6" t="s">
        <v>69</v>
      </c>
      <c r="AE120" s="6">
        <v>9.953991169999993</v>
      </c>
    </row>
    <row r="121" spans="1:31" ht="15.75" x14ac:dyDescent="0.25">
      <c r="A121" s="28">
        <v>38443</v>
      </c>
      <c r="B121" s="6">
        <v>1873</v>
      </c>
      <c r="C121" s="6">
        <v>83.2</v>
      </c>
      <c r="D121" s="6">
        <v>1945.6</v>
      </c>
      <c r="E121" s="6">
        <v>1285.5</v>
      </c>
      <c r="F121" s="6">
        <v>91.6</v>
      </c>
      <c r="G121" s="6">
        <v>750.8</v>
      </c>
      <c r="H121" s="6">
        <v>250.58403796000007</v>
      </c>
      <c r="I121" s="6">
        <v>73.711459739999995</v>
      </c>
      <c r="J121" s="6">
        <v>25.253055549999996</v>
      </c>
      <c r="K121" s="6">
        <v>230.3</v>
      </c>
      <c r="L121" s="6">
        <v>160</v>
      </c>
      <c r="M121" s="6">
        <v>0</v>
      </c>
      <c r="N121" s="6">
        <v>839.7452939499999</v>
      </c>
      <c r="O121" s="6">
        <v>86.5</v>
      </c>
      <c r="P121" s="6" t="s">
        <v>69</v>
      </c>
      <c r="Q121" s="6">
        <v>60.897398529999997</v>
      </c>
      <c r="R121" s="6">
        <v>44.10410499000001</v>
      </c>
      <c r="S121" s="6">
        <v>1220</v>
      </c>
      <c r="T121" s="6">
        <v>290.57356566999999</v>
      </c>
      <c r="U121" s="6">
        <v>7.3158716199999994</v>
      </c>
      <c r="V121" s="6">
        <v>-0.99877215999999991</v>
      </c>
      <c r="W121" s="6">
        <v>0.29964653999999996</v>
      </c>
      <c r="X121" s="6" t="s">
        <v>69</v>
      </c>
      <c r="Y121" s="6">
        <v>42.311133389999995</v>
      </c>
      <c r="Z121" s="6">
        <v>1469.5</v>
      </c>
      <c r="AA121" s="6">
        <v>342.78331775999987</v>
      </c>
      <c r="AB121" s="6">
        <v>120.26799267</v>
      </c>
      <c r="AC121" s="6">
        <v>47.259008790000003</v>
      </c>
      <c r="AD121" s="6" t="s">
        <v>69</v>
      </c>
      <c r="AE121" s="6">
        <v>10.34649138000001</v>
      </c>
    </row>
    <row r="122" spans="1:31" ht="15.75" x14ac:dyDescent="0.25">
      <c r="A122" s="28">
        <v>38473</v>
      </c>
      <c r="B122" s="6">
        <v>3619.9213988500005</v>
      </c>
      <c r="C122" s="6">
        <v>89.155564139999996</v>
      </c>
      <c r="D122" s="6">
        <v>1951.54978411</v>
      </c>
      <c r="E122" s="6">
        <v>1419.1207637500002</v>
      </c>
      <c r="F122" s="6">
        <v>96.903645400000002</v>
      </c>
      <c r="G122" s="6">
        <v>773.12975777999998</v>
      </c>
      <c r="H122" s="6">
        <v>212.29099464999999</v>
      </c>
      <c r="I122" s="6">
        <v>69.880189569999985</v>
      </c>
      <c r="J122" s="6">
        <v>45.737677609999999</v>
      </c>
      <c r="K122" s="6">
        <v>197.86645589</v>
      </c>
      <c r="L122" s="6">
        <v>130</v>
      </c>
      <c r="M122" s="6">
        <v>0</v>
      </c>
      <c r="N122" s="6">
        <v>870.84431012000016</v>
      </c>
      <c r="O122" s="6">
        <v>730.07253349999996</v>
      </c>
      <c r="P122" s="6" t="s">
        <v>69</v>
      </c>
      <c r="Q122" s="6">
        <v>61.961787990000012</v>
      </c>
      <c r="R122" s="6">
        <v>43.137451900000002</v>
      </c>
      <c r="S122" s="6">
        <v>1235.5821682199999</v>
      </c>
      <c r="T122" s="6">
        <v>307.21444990999998</v>
      </c>
      <c r="U122" s="6">
        <v>7.8666545700000006</v>
      </c>
      <c r="V122" s="6">
        <v>-1.2984459799999999</v>
      </c>
      <c r="W122" s="6">
        <v>0.29047439000000003</v>
      </c>
      <c r="X122" s="6" t="s">
        <v>69</v>
      </c>
      <c r="Y122" s="6">
        <v>46.224677249999992</v>
      </c>
      <c r="Z122" s="6">
        <v>1549.7</v>
      </c>
      <c r="AA122" s="6">
        <v>360.71698753000004</v>
      </c>
      <c r="AB122" s="6">
        <v>124.66633800000001</v>
      </c>
      <c r="AC122" s="6">
        <v>52.142993510000004</v>
      </c>
      <c r="AD122" s="6" t="s">
        <v>69</v>
      </c>
      <c r="AE122" s="6">
        <v>14.582872499999993</v>
      </c>
    </row>
    <row r="123" spans="1:31" ht="15.75" x14ac:dyDescent="0.25">
      <c r="A123" s="28">
        <v>38504</v>
      </c>
      <c r="B123" s="6">
        <v>3508.4</v>
      </c>
      <c r="C123" s="6">
        <v>96.7</v>
      </c>
      <c r="D123" s="6">
        <v>1832.3</v>
      </c>
      <c r="E123" s="6">
        <v>1468.7</v>
      </c>
      <c r="F123" s="6">
        <v>83.1</v>
      </c>
      <c r="G123" s="6">
        <v>806.6</v>
      </c>
      <c r="H123" s="6">
        <v>221.67748015999999</v>
      </c>
      <c r="I123" s="6">
        <v>75.827866069999985</v>
      </c>
      <c r="J123" s="6">
        <v>27.901860880000008</v>
      </c>
      <c r="K123" s="6">
        <v>296.89999999999998</v>
      </c>
      <c r="L123" s="6">
        <v>180</v>
      </c>
      <c r="M123" s="6">
        <v>0</v>
      </c>
      <c r="N123" s="6">
        <v>695.20010940999998</v>
      </c>
      <c r="O123" s="6">
        <v>238.7</v>
      </c>
      <c r="P123" s="6" t="s">
        <v>69</v>
      </c>
      <c r="Q123" s="6">
        <v>62.72521334999999</v>
      </c>
      <c r="R123" s="6">
        <v>39.194330800000003</v>
      </c>
      <c r="S123" s="6">
        <v>1103.2</v>
      </c>
      <c r="T123" s="6">
        <v>310.37078855999999</v>
      </c>
      <c r="U123" s="6">
        <v>7.862362570000001</v>
      </c>
      <c r="V123" s="6">
        <v>-1.4906253100000002</v>
      </c>
      <c r="W123" s="6">
        <v>0.30843014999999996</v>
      </c>
      <c r="X123" s="6" t="s">
        <v>69</v>
      </c>
      <c r="Y123" s="6">
        <v>46.328656100000003</v>
      </c>
      <c r="Z123" s="6">
        <v>1583.5</v>
      </c>
      <c r="AA123" s="6">
        <v>369.23318575999991</v>
      </c>
      <c r="AB123" s="6">
        <v>129.18281742000002</v>
      </c>
      <c r="AC123" s="6">
        <v>49.143221319999988</v>
      </c>
      <c r="AD123" s="6" t="s">
        <v>69</v>
      </c>
      <c r="AE123" s="6">
        <v>19.746680939999997</v>
      </c>
    </row>
    <row r="124" spans="1:31" ht="15.75" x14ac:dyDescent="0.25">
      <c r="A124" s="28">
        <v>38534</v>
      </c>
      <c r="B124" s="6">
        <v>1987.8</v>
      </c>
      <c r="C124" s="6">
        <v>93.4</v>
      </c>
      <c r="D124" s="6">
        <v>1888.2</v>
      </c>
      <c r="E124" s="6">
        <v>1322.2</v>
      </c>
      <c r="F124" s="6">
        <v>83.2</v>
      </c>
      <c r="G124" s="6">
        <v>799.2</v>
      </c>
      <c r="H124" s="6">
        <v>208.04602871</v>
      </c>
      <c r="I124" s="6">
        <v>79.875417400000018</v>
      </c>
      <c r="J124" s="6">
        <v>23.586611379999994</v>
      </c>
      <c r="K124" s="6">
        <v>196.7</v>
      </c>
      <c r="L124" s="6">
        <v>160</v>
      </c>
      <c r="M124" s="6">
        <v>0</v>
      </c>
      <c r="N124" s="6">
        <v>836.1008797799999</v>
      </c>
      <c r="O124" s="6">
        <v>111.2</v>
      </c>
      <c r="P124" s="6" t="s">
        <v>69</v>
      </c>
      <c r="Q124" s="6">
        <v>62.57946453000001</v>
      </c>
      <c r="R124" s="6">
        <v>40.573038780000005</v>
      </c>
      <c r="S124" s="6">
        <v>1129.5</v>
      </c>
      <c r="T124" s="6">
        <v>307.72903570000011</v>
      </c>
      <c r="U124" s="6">
        <v>7.7894895700000006</v>
      </c>
      <c r="V124" s="6">
        <v>2.6105340000000001E-2</v>
      </c>
      <c r="W124" s="6">
        <v>0.25436020999999998</v>
      </c>
      <c r="X124" s="6" t="s">
        <v>69</v>
      </c>
      <c r="Y124" s="6">
        <v>49.540176930000001</v>
      </c>
      <c r="Z124" s="6">
        <v>2293</v>
      </c>
      <c r="AA124" s="6">
        <v>522.23261751999985</v>
      </c>
      <c r="AB124" s="6">
        <v>174.31923061000003</v>
      </c>
      <c r="AC124" s="6">
        <v>48.630016730000008</v>
      </c>
      <c r="AD124" s="6" t="s">
        <v>69</v>
      </c>
      <c r="AE124" s="6">
        <v>12.264667109999989</v>
      </c>
    </row>
    <row r="125" spans="1:31" ht="15.75" x14ac:dyDescent="0.25">
      <c r="A125" s="28">
        <v>38565</v>
      </c>
      <c r="B125" s="6">
        <v>2085.8000000000002</v>
      </c>
      <c r="C125" s="6">
        <v>107.9</v>
      </c>
      <c r="D125" s="6">
        <v>1996</v>
      </c>
      <c r="E125" s="6">
        <v>1491.2</v>
      </c>
      <c r="F125" s="6">
        <v>94.4</v>
      </c>
      <c r="G125" s="6">
        <v>808.7</v>
      </c>
      <c r="H125" s="6">
        <v>224.56225214000003</v>
      </c>
      <c r="I125" s="6">
        <v>79.764802040000006</v>
      </c>
      <c r="J125" s="6">
        <v>44.031708299999998</v>
      </c>
      <c r="K125" s="6">
        <v>199.1</v>
      </c>
      <c r="L125" s="6">
        <v>160</v>
      </c>
      <c r="M125" s="6">
        <v>0</v>
      </c>
      <c r="N125" s="6">
        <v>810.73600310000006</v>
      </c>
      <c r="O125" s="6">
        <v>147.5</v>
      </c>
      <c r="P125" s="6" t="s">
        <v>69</v>
      </c>
      <c r="Q125" s="6">
        <v>64.402358019999994</v>
      </c>
      <c r="R125" s="6">
        <v>39.198247289999998</v>
      </c>
      <c r="S125" s="6">
        <v>1248.9000000000001</v>
      </c>
      <c r="T125" s="6">
        <v>352.70322392999987</v>
      </c>
      <c r="U125" s="6">
        <v>8.7370831699999982</v>
      </c>
      <c r="V125" s="6">
        <v>-1.3971467599999998</v>
      </c>
      <c r="W125" s="6">
        <v>0.35116510999999995</v>
      </c>
      <c r="X125" s="6" t="s">
        <v>69</v>
      </c>
      <c r="Y125" s="6">
        <v>51.445496850000005</v>
      </c>
      <c r="Z125" s="6">
        <v>1785.3</v>
      </c>
      <c r="AA125" s="6">
        <v>387.59985072000006</v>
      </c>
      <c r="AB125" s="6">
        <v>145.89736714999995</v>
      </c>
      <c r="AC125" s="6">
        <v>50.428138309999987</v>
      </c>
      <c r="AD125" s="6" t="s">
        <v>69</v>
      </c>
      <c r="AE125" s="6">
        <v>6.8981717600000048</v>
      </c>
    </row>
    <row r="126" spans="1:31" ht="15.75" x14ac:dyDescent="0.25">
      <c r="A126" s="28">
        <v>38596</v>
      </c>
      <c r="B126" s="6">
        <v>1971.1</v>
      </c>
      <c r="C126" s="6">
        <v>104</v>
      </c>
      <c r="D126" s="6">
        <v>2215.4</v>
      </c>
      <c r="E126" s="6">
        <v>1387.5</v>
      </c>
      <c r="F126" s="6">
        <v>92.9</v>
      </c>
      <c r="G126" s="6">
        <v>814.9</v>
      </c>
      <c r="H126" s="6">
        <v>222.81115813</v>
      </c>
      <c r="I126" s="6">
        <v>92.131353680000004</v>
      </c>
      <c r="J126" s="6">
        <v>22.577014070000001</v>
      </c>
      <c r="K126" s="6">
        <v>197.8</v>
      </c>
      <c r="L126" s="6">
        <v>160</v>
      </c>
      <c r="M126" s="6">
        <v>0</v>
      </c>
      <c r="N126" s="6">
        <v>862.05003498999997</v>
      </c>
      <c r="O126" s="6">
        <v>33.200000000000003</v>
      </c>
      <c r="P126" s="6" t="s">
        <v>69</v>
      </c>
      <c r="Q126" s="6">
        <v>64.67973422999998</v>
      </c>
      <c r="R126" s="6">
        <v>43.244972479999994</v>
      </c>
      <c r="S126" s="6">
        <v>965.5</v>
      </c>
      <c r="T126" s="6">
        <v>347.55088976000002</v>
      </c>
      <c r="U126" s="6">
        <v>8.4973834900000007</v>
      </c>
      <c r="V126" s="6">
        <v>-0.27786425999999992</v>
      </c>
      <c r="W126" s="6">
        <v>0.22114065999999996</v>
      </c>
      <c r="X126" s="6" t="s">
        <v>69</v>
      </c>
      <c r="Y126" s="6">
        <v>49.122332390000004</v>
      </c>
      <c r="Z126" s="6">
        <v>1819.7</v>
      </c>
      <c r="AA126" s="6">
        <v>385.60261966999985</v>
      </c>
      <c r="AB126" s="6">
        <v>151.35267401000004</v>
      </c>
      <c r="AC126" s="6">
        <v>50.710535229999991</v>
      </c>
      <c r="AD126" s="6" t="s">
        <v>69</v>
      </c>
      <c r="AE126" s="6">
        <v>16.398352830000018</v>
      </c>
    </row>
    <row r="127" spans="1:31" ht="15.75" x14ac:dyDescent="0.25">
      <c r="A127" s="28">
        <v>38626</v>
      </c>
      <c r="B127" s="6">
        <v>2120.3000000000002</v>
      </c>
      <c r="C127" s="6">
        <v>109.8</v>
      </c>
      <c r="D127" s="6">
        <v>1929.6</v>
      </c>
      <c r="E127" s="6">
        <v>1398.5</v>
      </c>
      <c r="F127" s="6">
        <v>88</v>
      </c>
      <c r="G127" s="6">
        <v>794.4</v>
      </c>
      <c r="H127" s="6">
        <v>223.72557559000001</v>
      </c>
      <c r="I127" s="6">
        <v>84.195874669999995</v>
      </c>
      <c r="J127" s="6">
        <v>31.74102512999999</v>
      </c>
      <c r="K127" s="6">
        <v>280</v>
      </c>
      <c r="L127" s="6">
        <v>190</v>
      </c>
      <c r="M127" s="6">
        <v>0</v>
      </c>
      <c r="N127" s="6">
        <v>935.26487586999986</v>
      </c>
      <c r="O127" s="6">
        <v>135.5</v>
      </c>
      <c r="P127" s="6" t="s">
        <v>69</v>
      </c>
      <c r="Q127" s="6">
        <v>63.84860518</v>
      </c>
      <c r="R127" s="6">
        <v>41.158532730000005</v>
      </c>
      <c r="S127" s="6">
        <v>1011.5</v>
      </c>
      <c r="T127" s="6">
        <v>344.4293919700001</v>
      </c>
      <c r="U127" s="6">
        <v>8.48323757</v>
      </c>
      <c r="V127" s="6">
        <v>1.866106E-2</v>
      </c>
      <c r="W127" s="6">
        <v>0.39742669000000003</v>
      </c>
      <c r="X127" s="6" t="s">
        <v>69</v>
      </c>
      <c r="Y127" s="6">
        <v>50.514889340000011</v>
      </c>
      <c r="Z127" s="6">
        <v>1933.4</v>
      </c>
      <c r="AA127" s="6">
        <v>395.98878505999994</v>
      </c>
      <c r="AB127" s="6">
        <v>157.18787766</v>
      </c>
      <c r="AC127" s="6">
        <v>49.445425830000019</v>
      </c>
      <c r="AD127" s="6" t="s">
        <v>69</v>
      </c>
      <c r="AE127" s="6">
        <v>-0.35137122000000909</v>
      </c>
    </row>
    <row r="128" spans="1:31" ht="15.75" x14ac:dyDescent="0.25">
      <c r="A128" s="28">
        <v>38657</v>
      </c>
      <c r="B128" s="6">
        <v>2148.4</v>
      </c>
      <c r="C128" s="6">
        <v>111.6</v>
      </c>
      <c r="D128" s="6">
        <v>2057.3000000000002</v>
      </c>
      <c r="E128" s="6">
        <v>1534.3</v>
      </c>
      <c r="F128" s="6">
        <v>92.7</v>
      </c>
      <c r="G128" s="6">
        <v>854.5</v>
      </c>
      <c r="H128" s="6">
        <v>241.03506123000003</v>
      </c>
      <c r="I128" s="6">
        <v>94.709395400000005</v>
      </c>
      <c r="J128" s="6">
        <v>36.283893619999994</v>
      </c>
      <c r="K128" s="6">
        <v>346.9</v>
      </c>
      <c r="L128" s="6">
        <v>200</v>
      </c>
      <c r="M128" s="6">
        <v>0</v>
      </c>
      <c r="N128" s="6">
        <v>880.72445977000007</v>
      </c>
      <c r="O128" s="6">
        <v>33</v>
      </c>
      <c r="P128" s="6" t="s">
        <v>69</v>
      </c>
      <c r="Q128" s="6">
        <v>67.32655874999999</v>
      </c>
      <c r="R128" s="6">
        <v>51.015206080000006</v>
      </c>
      <c r="S128" s="6">
        <v>845.7</v>
      </c>
      <c r="T128" s="6">
        <v>387.87433991000006</v>
      </c>
      <c r="U128" s="6">
        <v>9.6399400400000008</v>
      </c>
      <c r="V128" s="6">
        <v>7.7474249999999981E-2</v>
      </c>
      <c r="W128" s="6">
        <v>0.41501373000000003</v>
      </c>
      <c r="X128" s="6" t="s">
        <v>69</v>
      </c>
      <c r="Y128" s="6">
        <v>54.894138859999991</v>
      </c>
      <c r="Z128" s="6">
        <v>1973.2</v>
      </c>
      <c r="AA128" s="6">
        <v>415.57356292999987</v>
      </c>
      <c r="AB128" s="6">
        <v>170.56330642999995</v>
      </c>
      <c r="AC128" s="6">
        <v>51.27249694999999</v>
      </c>
      <c r="AD128" s="6" t="s">
        <v>69</v>
      </c>
      <c r="AE128" s="6">
        <v>16.064235460000003</v>
      </c>
    </row>
    <row r="129" spans="1:31" ht="15.75" x14ac:dyDescent="0.25">
      <c r="A129" s="28">
        <v>38687</v>
      </c>
      <c r="B129" s="6">
        <v>2506.3000000000002</v>
      </c>
      <c r="C129" s="6">
        <v>111.5</v>
      </c>
      <c r="D129" s="6">
        <v>2208.5</v>
      </c>
      <c r="E129" s="6">
        <v>1466</v>
      </c>
      <c r="F129" s="6">
        <v>88.7</v>
      </c>
      <c r="G129" s="6">
        <v>971.6</v>
      </c>
      <c r="H129" s="6">
        <v>243.64689174999995</v>
      </c>
      <c r="I129" s="6">
        <v>103.75885386000002</v>
      </c>
      <c r="J129" s="6">
        <v>38.845200040000002</v>
      </c>
      <c r="K129" s="6">
        <v>250.1</v>
      </c>
      <c r="L129" s="6">
        <v>175</v>
      </c>
      <c r="M129" s="6">
        <v>0</v>
      </c>
      <c r="N129" s="6">
        <v>1496.4221898199996</v>
      </c>
      <c r="O129" s="6">
        <v>138.19999999999999</v>
      </c>
      <c r="P129" s="6" t="s">
        <v>69</v>
      </c>
      <c r="Q129" s="6">
        <v>67.283244260000004</v>
      </c>
      <c r="R129" s="6">
        <v>45.254273019999992</v>
      </c>
      <c r="S129" s="6">
        <v>993.6</v>
      </c>
      <c r="T129" s="6">
        <v>350.85065469999995</v>
      </c>
      <c r="U129" s="6">
        <v>9.0574637199999977</v>
      </c>
      <c r="V129" s="6">
        <v>-0.41777693000000005</v>
      </c>
      <c r="W129" s="6">
        <v>0.38000401999999994</v>
      </c>
      <c r="X129" s="6" t="s">
        <v>69</v>
      </c>
      <c r="Y129" s="6">
        <v>51.167589259999986</v>
      </c>
      <c r="Z129" s="6">
        <v>2008.1</v>
      </c>
      <c r="AA129" s="6">
        <v>430.4315110199999</v>
      </c>
      <c r="AB129" s="6">
        <v>175.91459612000003</v>
      </c>
      <c r="AC129" s="6">
        <v>51.551562370000013</v>
      </c>
      <c r="AD129" s="6" t="s">
        <v>69</v>
      </c>
      <c r="AE129" s="6">
        <v>29.012514089999993</v>
      </c>
    </row>
    <row r="130" spans="1:31" ht="15.75" x14ac:dyDescent="0.25">
      <c r="A130" s="28">
        <v>38718</v>
      </c>
      <c r="B130" s="6">
        <v>2299.6999999999998</v>
      </c>
      <c r="C130" s="6">
        <v>107.5</v>
      </c>
      <c r="D130" s="6">
        <v>2431.9</v>
      </c>
      <c r="E130" s="6">
        <v>1442</v>
      </c>
      <c r="F130" s="6">
        <v>79.599999999999994</v>
      </c>
      <c r="G130" s="6">
        <v>892.5</v>
      </c>
      <c r="H130" s="6">
        <v>267.32569237999996</v>
      </c>
      <c r="I130" s="6">
        <v>105.82942449999999</v>
      </c>
      <c r="J130" s="6">
        <v>47.148258220000002</v>
      </c>
      <c r="K130" s="6">
        <v>249.8</v>
      </c>
      <c r="L130" s="6">
        <v>185</v>
      </c>
      <c r="M130" s="6">
        <v>0</v>
      </c>
      <c r="N130" s="6">
        <v>363.00734943999998</v>
      </c>
      <c r="O130" s="6">
        <v>25.1</v>
      </c>
      <c r="P130" s="6" t="s">
        <v>69</v>
      </c>
      <c r="Q130" s="6">
        <v>65.230451520000017</v>
      </c>
      <c r="R130" s="6">
        <v>43.603387370000007</v>
      </c>
      <c r="S130" s="6">
        <v>967</v>
      </c>
      <c r="T130" s="6">
        <v>377.38001393000008</v>
      </c>
      <c r="U130" s="6">
        <v>9.2017703300000004</v>
      </c>
      <c r="V130" s="6">
        <v>-3.9824487099999994</v>
      </c>
      <c r="W130" s="6">
        <v>0.70552541000000013</v>
      </c>
      <c r="X130" s="6" t="s">
        <v>69</v>
      </c>
      <c r="Y130" s="6">
        <v>58.852761199999996</v>
      </c>
      <c r="Z130" s="6">
        <v>2798.7</v>
      </c>
      <c r="AA130" s="6">
        <v>619.95457887999987</v>
      </c>
      <c r="AB130" s="6">
        <v>238.11575887999999</v>
      </c>
      <c r="AC130" s="6">
        <v>51.206939829999989</v>
      </c>
      <c r="AD130" s="6" t="s">
        <v>69</v>
      </c>
      <c r="AE130" s="6">
        <v>40.905902310000009</v>
      </c>
    </row>
    <row r="131" spans="1:31" ht="15.75" x14ac:dyDescent="0.25">
      <c r="A131" s="28">
        <v>38749</v>
      </c>
      <c r="B131" s="6">
        <v>2206.1999999999998</v>
      </c>
      <c r="C131" s="6">
        <v>95.1</v>
      </c>
      <c r="D131" s="6">
        <v>2143.6999999999998</v>
      </c>
      <c r="E131" s="6">
        <v>1381.2</v>
      </c>
      <c r="F131" s="6">
        <v>81.900000000000006</v>
      </c>
      <c r="G131" s="6">
        <v>792.3</v>
      </c>
      <c r="H131" s="6">
        <v>229.20247131999997</v>
      </c>
      <c r="I131" s="6">
        <v>94.410026749999986</v>
      </c>
      <c r="J131" s="6">
        <v>24.703993589999993</v>
      </c>
      <c r="K131" s="6">
        <v>199.8</v>
      </c>
      <c r="L131" s="6">
        <v>160</v>
      </c>
      <c r="M131" s="6">
        <v>0</v>
      </c>
      <c r="N131" s="6">
        <v>921.95243352</v>
      </c>
      <c r="O131" s="6">
        <v>125.3</v>
      </c>
      <c r="P131" s="6" t="s">
        <v>69</v>
      </c>
      <c r="Q131" s="6">
        <v>64.29409462000001</v>
      </c>
      <c r="R131" s="6">
        <v>47.077951820000003</v>
      </c>
      <c r="S131" s="6">
        <v>880.4</v>
      </c>
      <c r="T131" s="6">
        <v>337.50978280999999</v>
      </c>
      <c r="U131" s="6">
        <v>8.19698861</v>
      </c>
      <c r="V131" s="6">
        <v>2.5532600000000003E-3</v>
      </c>
      <c r="W131" s="6">
        <v>0.45267824000000001</v>
      </c>
      <c r="X131" s="6" t="s">
        <v>69</v>
      </c>
      <c r="Y131" s="6">
        <v>48.025848830000015</v>
      </c>
      <c r="Z131" s="6">
        <v>2180.6999999999998</v>
      </c>
      <c r="AA131" s="6">
        <v>463.65350458000012</v>
      </c>
      <c r="AB131" s="6">
        <v>190.22856527000002</v>
      </c>
      <c r="AC131" s="6">
        <v>49.437958769999995</v>
      </c>
      <c r="AD131" s="6" t="s">
        <v>69</v>
      </c>
      <c r="AE131" s="6">
        <v>86.052798710000005</v>
      </c>
    </row>
    <row r="132" spans="1:31" ht="15.75" x14ac:dyDescent="0.25">
      <c r="A132" s="28">
        <v>38777</v>
      </c>
      <c r="B132" s="6">
        <v>1875.4</v>
      </c>
      <c r="C132" s="6">
        <v>112.1</v>
      </c>
      <c r="D132" s="6">
        <v>2187.4</v>
      </c>
      <c r="E132" s="6">
        <v>1615.1</v>
      </c>
      <c r="F132" s="6">
        <v>90.8</v>
      </c>
      <c r="G132" s="6">
        <v>910.6</v>
      </c>
      <c r="H132" s="6">
        <v>206.22645789999999</v>
      </c>
      <c r="I132" s="6">
        <v>104.27839704000002</v>
      </c>
      <c r="J132" s="6">
        <v>41.281493019999992</v>
      </c>
      <c r="K132" s="6">
        <v>249.9</v>
      </c>
      <c r="L132" s="6">
        <v>180</v>
      </c>
      <c r="M132" s="6">
        <v>0</v>
      </c>
      <c r="N132" s="6">
        <v>777.81934147000015</v>
      </c>
      <c r="O132" s="6">
        <v>30.2</v>
      </c>
      <c r="P132" s="6" t="s">
        <v>69</v>
      </c>
      <c r="Q132" s="6">
        <v>70.239976089999999</v>
      </c>
      <c r="R132" s="6">
        <v>37.637217900000003</v>
      </c>
      <c r="S132" s="6">
        <v>1022</v>
      </c>
      <c r="T132" s="6">
        <v>394.87410429000005</v>
      </c>
      <c r="U132" s="6">
        <v>9.6101957099999975</v>
      </c>
      <c r="V132" s="6">
        <v>-0.97643022000000002</v>
      </c>
      <c r="W132" s="6">
        <v>0.18093601999999995</v>
      </c>
      <c r="X132" s="6" t="s">
        <v>69</v>
      </c>
      <c r="Y132" s="6">
        <v>57.328622760000009</v>
      </c>
      <c r="Z132" s="6">
        <v>2137.8000000000002</v>
      </c>
      <c r="AA132" s="6">
        <v>459.89143163999989</v>
      </c>
      <c r="AB132" s="6">
        <v>194.28052448000003</v>
      </c>
      <c r="AC132" s="6">
        <v>53.532347710000018</v>
      </c>
      <c r="AD132" s="6" t="s">
        <v>69</v>
      </c>
      <c r="AE132" s="6">
        <v>65.430917669999999</v>
      </c>
    </row>
    <row r="133" spans="1:31" ht="15.75" x14ac:dyDescent="0.25">
      <c r="A133" s="28">
        <v>38808</v>
      </c>
      <c r="B133" s="6">
        <v>1281.50525275</v>
      </c>
      <c r="C133" s="6">
        <v>103.29177525999999</v>
      </c>
      <c r="D133" s="6">
        <v>2350.8407196600001</v>
      </c>
      <c r="E133" s="6">
        <v>1488.28311437</v>
      </c>
      <c r="F133" s="6">
        <v>80.282510049999999</v>
      </c>
      <c r="G133" s="6">
        <v>840.51704104999999</v>
      </c>
      <c r="H133" s="6">
        <v>239.47661999000002</v>
      </c>
      <c r="I133" s="6">
        <v>116.78468498000001</v>
      </c>
      <c r="J133" s="6">
        <v>22.728807199999999</v>
      </c>
      <c r="K133" s="6">
        <v>250.85881791</v>
      </c>
      <c r="L133" s="6">
        <v>160</v>
      </c>
      <c r="M133" s="6">
        <v>0</v>
      </c>
      <c r="N133" s="6">
        <v>950.15782824999997</v>
      </c>
      <c r="O133" s="6">
        <v>41.869435330000002</v>
      </c>
      <c r="P133" s="6" t="s">
        <v>69</v>
      </c>
      <c r="Q133" s="6">
        <v>66.618060409999984</v>
      </c>
      <c r="R133" s="6">
        <v>39.978826520000005</v>
      </c>
      <c r="S133" s="6">
        <v>1092.42274903</v>
      </c>
      <c r="T133" s="6">
        <v>360.66164969999994</v>
      </c>
      <c r="U133" s="6">
        <v>8.9596066199999989</v>
      </c>
      <c r="V133" s="6">
        <v>0.20003576000000001</v>
      </c>
      <c r="W133" s="6">
        <v>0.15541195000000002</v>
      </c>
      <c r="X133" s="6" t="s">
        <v>69</v>
      </c>
      <c r="Y133" s="6">
        <v>51.215653139999993</v>
      </c>
      <c r="Z133" s="6">
        <v>2163.1999999999998</v>
      </c>
      <c r="AA133" s="6">
        <v>455.72587466999994</v>
      </c>
      <c r="AB133" s="6">
        <v>192.08097698999993</v>
      </c>
      <c r="AC133" s="6">
        <v>51.280206009999979</v>
      </c>
      <c r="AD133" s="6" t="s">
        <v>69</v>
      </c>
      <c r="AE133" s="6">
        <v>78.603234510000007</v>
      </c>
    </row>
    <row r="134" spans="1:31" ht="15.75" x14ac:dyDescent="0.25">
      <c r="A134" s="28">
        <v>38838</v>
      </c>
      <c r="B134" s="6">
        <v>4107.8</v>
      </c>
      <c r="C134" s="6">
        <v>114.1</v>
      </c>
      <c r="D134" s="6">
        <v>2328.4</v>
      </c>
      <c r="E134" s="6">
        <v>1690.6</v>
      </c>
      <c r="F134" s="6">
        <v>96.1</v>
      </c>
      <c r="G134" s="6">
        <v>1015.1</v>
      </c>
      <c r="H134" s="6">
        <v>193.59609606000004</v>
      </c>
      <c r="I134" s="6">
        <v>117.50992354</v>
      </c>
      <c r="J134" s="6">
        <v>41.679704359999995</v>
      </c>
      <c r="K134" s="6">
        <v>249.5</v>
      </c>
      <c r="L134" s="6">
        <v>160</v>
      </c>
      <c r="M134" s="6">
        <v>0</v>
      </c>
      <c r="N134" s="6">
        <v>949.75826211000003</v>
      </c>
      <c r="O134" s="6">
        <v>893.2</v>
      </c>
      <c r="P134" s="6" t="s">
        <v>69</v>
      </c>
      <c r="Q134" s="6">
        <v>71.913649159999991</v>
      </c>
      <c r="R134" s="6">
        <v>43.831502040000004</v>
      </c>
      <c r="S134" s="6">
        <v>1275.3</v>
      </c>
      <c r="T134" s="6">
        <v>413.62877772000007</v>
      </c>
      <c r="U134" s="6">
        <v>10.092507000000001</v>
      </c>
      <c r="V134" s="6">
        <v>3.3290399999999997E-3</v>
      </c>
      <c r="W134" s="6">
        <v>0.32417940999999995</v>
      </c>
      <c r="X134" s="6" t="s">
        <v>69</v>
      </c>
      <c r="Y134" s="6">
        <v>59.35029844000001</v>
      </c>
      <c r="Z134" s="6">
        <v>2274.8000000000002</v>
      </c>
      <c r="AA134" s="6">
        <v>476.16048204999987</v>
      </c>
      <c r="AB134" s="6">
        <v>206.34035532000004</v>
      </c>
      <c r="AC134" s="6">
        <v>55.127006299999991</v>
      </c>
      <c r="AD134" s="6" t="s">
        <v>69</v>
      </c>
      <c r="AE134" s="6">
        <v>53.085953590000045</v>
      </c>
    </row>
    <row r="135" spans="1:31" ht="15.75" x14ac:dyDescent="0.25">
      <c r="A135" s="28">
        <v>38869</v>
      </c>
      <c r="B135" s="6">
        <v>4352.2</v>
      </c>
      <c r="C135" s="6">
        <v>120.8</v>
      </c>
      <c r="D135" s="6">
        <v>2357.6999999999998</v>
      </c>
      <c r="E135" s="6">
        <v>1686.6</v>
      </c>
      <c r="F135" s="6">
        <v>90</v>
      </c>
      <c r="G135" s="6">
        <v>1020.8</v>
      </c>
      <c r="H135" s="6">
        <v>214.42402705999999</v>
      </c>
      <c r="I135" s="6">
        <v>123.59061868000003</v>
      </c>
      <c r="J135" s="6">
        <v>21.937392529999997</v>
      </c>
      <c r="K135" s="6">
        <v>248.7</v>
      </c>
      <c r="L135" s="6">
        <v>160</v>
      </c>
      <c r="M135" s="6">
        <v>0</v>
      </c>
      <c r="N135" s="6">
        <v>964.43894762000014</v>
      </c>
      <c r="O135" s="6">
        <v>260.10000000000002</v>
      </c>
      <c r="P135" s="6" t="s">
        <v>69</v>
      </c>
      <c r="Q135" s="6">
        <v>71.548535300000026</v>
      </c>
      <c r="R135" s="6">
        <v>47.489728339999999</v>
      </c>
      <c r="S135" s="6">
        <v>1080.7</v>
      </c>
      <c r="T135" s="6">
        <v>398.82700083000009</v>
      </c>
      <c r="U135" s="6">
        <v>9.6580769800000006</v>
      </c>
      <c r="V135" s="6">
        <v>5.6625E-3</v>
      </c>
      <c r="W135" s="6">
        <v>0.29667401000000004</v>
      </c>
      <c r="X135" s="6" t="s">
        <v>69</v>
      </c>
      <c r="Y135" s="6">
        <v>56.082177309999999</v>
      </c>
      <c r="Z135" s="6">
        <v>2384.5</v>
      </c>
      <c r="AA135" s="6">
        <v>477.67310089</v>
      </c>
      <c r="AB135" s="6">
        <v>208.32504142000002</v>
      </c>
      <c r="AC135" s="6">
        <v>54.846243219999998</v>
      </c>
      <c r="AD135" s="6" t="s">
        <v>69</v>
      </c>
      <c r="AE135" s="6">
        <v>-10.750924629999979</v>
      </c>
    </row>
    <row r="136" spans="1:31" ht="15.75" x14ac:dyDescent="0.25">
      <c r="A136" s="28">
        <v>38899</v>
      </c>
      <c r="B136" s="6">
        <v>2501.1</v>
      </c>
      <c r="C136" s="6">
        <v>123.5</v>
      </c>
      <c r="D136" s="6">
        <v>2365.6</v>
      </c>
      <c r="E136" s="6">
        <v>1666.9</v>
      </c>
      <c r="F136" s="6">
        <v>86.9</v>
      </c>
      <c r="G136" s="6">
        <v>987.2</v>
      </c>
      <c r="H136" s="6">
        <v>214.82041762999998</v>
      </c>
      <c r="I136" s="6">
        <v>115.18770509000001</v>
      </c>
      <c r="J136" s="6">
        <v>30.925964459999992</v>
      </c>
      <c r="K136" s="6">
        <v>250</v>
      </c>
      <c r="L136" s="6">
        <v>160</v>
      </c>
      <c r="M136" s="6">
        <v>0</v>
      </c>
      <c r="N136" s="6">
        <v>943.73126574000003</v>
      </c>
      <c r="O136" s="6">
        <v>138.80000000000001</v>
      </c>
      <c r="P136" s="6" t="s">
        <v>69</v>
      </c>
      <c r="Q136" s="6">
        <v>73.217092899999983</v>
      </c>
      <c r="R136" s="6">
        <v>49.694324469999991</v>
      </c>
      <c r="S136" s="6">
        <v>1241.8</v>
      </c>
      <c r="T136" s="6">
        <v>414.14658408999998</v>
      </c>
      <c r="U136" s="6">
        <v>9.9456133800000028</v>
      </c>
      <c r="V136" s="6">
        <v>-1.7579139500000001</v>
      </c>
      <c r="W136" s="6">
        <v>0.23368284999999997</v>
      </c>
      <c r="X136" s="6" t="s">
        <v>69</v>
      </c>
      <c r="Y136" s="6">
        <v>54.516468209999999</v>
      </c>
      <c r="Z136" s="6">
        <v>3295.2</v>
      </c>
      <c r="AA136" s="6">
        <v>689.90003598999988</v>
      </c>
      <c r="AB136" s="6">
        <v>276.51574120000004</v>
      </c>
      <c r="AC136" s="6">
        <v>55.669405089999998</v>
      </c>
      <c r="AD136" s="6" t="s">
        <v>69</v>
      </c>
      <c r="AE136" s="6">
        <v>-59.103191559999971</v>
      </c>
    </row>
    <row r="137" spans="1:31" ht="15.75" x14ac:dyDescent="0.25">
      <c r="A137" s="28">
        <v>38930</v>
      </c>
      <c r="B137" s="6">
        <v>2723.1998188999996</v>
      </c>
      <c r="C137" s="6">
        <v>139.52422534999999</v>
      </c>
      <c r="D137" s="6">
        <v>2596.4210963799997</v>
      </c>
      <c r="E137" s="6">
        <v>1879.41715742</v>
      </c>
      <c r="F137" s="6">
        <v>94.822540599999996</v>
      </c>
      <c r="G137" s="6">
        <v>1004.9020275599999</v>
      </c>
      <c r="H137" s="6">
        <v>211.59806912000002</v>
      </c>
      <c r="I137" s="6">
        <v>118.29807082999999</v>
      </c>
      <c r="J137" s="6">
        <v>43.577484560000002</v>
      </c>
      <c r="K137" s="6">
        <v>299.40416426000002</v>
      </c>
      <c r="L137" s="6">
        <v>160</v>
      </c>
      <c r="M137" s="6">
        <v>0</v>
      </c>
      <c r="N137" s="6">
        <v>952.52669129000003</v>
      </c>
      <c r="O137" s="6">
        <v>169.26375014999999</v>
      </c>
      <c r="P137" s="6" t="s">
        <v>69</v>
      </c>
      <c r="Q137" s="6">
        <v>73.336791590000004</v>
      </c>
      <c r="R137" s="6">
        <v>48.688207750000004</v>
      </c>
      <c r="S137" s="6">
        <v>1379.7121860299999</v>
      </c>
      <c r="T137" s="6">
        <v>454.59167406999995</v>
      </c>
      <c r="U137" s="6">
        <v>10.803189479999999</v>
      </c>
      <c r="V137" s="6">
        <v>4.4444440000000002E-2</v>
      </c>
      <c r="W137" s="6">
        <v>0.33673882999999999</v>
      </c>
      <c r="X137" s="6" t="s">
        <v>69</v>
      </c>
      <c r="Y137" s="6">
        <v>64.45885367999999</v>
      </c>
      <c r="Z137" s="6">
        <v>2460.1999999999998</v>
      </c>
      <c r="AA137" s="6">
        <v>516.66502171000002</v>
      </c>
      <c r="AB137" s="6">
        <v>228.70356922000002</v>
      </c>
      <c r="AC137" s="6">
        <v>56.713643239999996</v>
      </c>
      <c r="AD137" s="6" t="s">
        <v>69</v>
      </c>
      <c r="AE137" s="6">
        <v>53.446902069999993</v>
      </c>
    </row>
    <row r="138" spans="1:31" ht="15.75" x14ac:dyDescent="0.25">
      <c r="A138" s="28">
        <v>38961</v>
      </c>
      <c r="B138" s="6">
        <v>2423.3984000400001</v>
      </c>
      <c r="C138" s="6">
        <v>137.25018555</v>
      </c>
      <c r="D138" s="6">
        <v>2565.6166143199998</v>
      </c>
      <c r="E138" s="6">
        <v>1885.62543521</v>
      </c>
      <c r="F138" s="6">
        <v>92.877368630000007</v>
      </c>
      <c r="G138" s="6">
        <v>937.23696673999996</v>
      </c>
      <c r="H138" s="6">
        <v>220.13440611999997</v>
      </c>
      <c r="I138" s="6">
        <v>115.15052180000001</v>
      </c>
      <c r="J138" s="6">
        <v>21.030510240000002</v>
      </c>
      <c r="K138" s="6">
        <v>269.74399566</v>
      </c>
      <c r="L138" s="6">
        <v>160</v>
      </c>
      <c r="M138" s="6">
        <v>0</v>
      </c>
      <c r="N138" s="6">
        <v>924.97910233000016</v>
      </c>
      <c r="O138" s="6">
        <v>41.737009710000002</v>
      </c>
      <c r="P138" s="6" t="s">
        <v>69</v>
      </c>
      <c r="Q138" s="6">
        <v>75.25100338999998</v>
      </c>
      <c r="R138" s="6">
        <v>48.663975619999995</v>
      </c>
      <c r="S138" s="6">
        <v>1612.83557131</v>
      </c>
      <c r="T138" s="6">
        <v>458.25593267999994</v>
      </c>
      <c r="U138" s="6">
        <v>10.718411620000001</v>
      </c>
      <c r="V138" s="6">
        <v>0.35316973000000007</v>
      </c>
      <c r="W138" s="6">
        <v>0.37961354999999997</v>
      </c>
      <c r="X138" s="6" t="s">
        <v>69</v>
      </c>
      <c r="Y138" s="6">
        <v>92.292421319999974</v>
      </c>
      <c r="Z138" s="6">
        <v>2495.6</v>
      </c>
      <c r="AA138" s="6">
        <v>519.99190111999985</v>
      </c>
      <c r="AB138" s="6">
        <v>223.60508275999999</v>
      </c>
      <c r="AC138" s="6">
        <v>57.244425309999983</v>
      </c>
      <c r="AD138" s="6" t="s">
        <v>69</v>
      </c>
      <c r="AE138" s="6">
        <v>49.208021460000047</v>
      </c>
    </row>
    <row r="139" spans="1:31" ht="15.75" x14ac:dyDescent="0.25">
      <c r="A139" s="28">
        <v>38991</v>
      </c>
      <c r="B139" s="6">
        <v>2617.8272080800002</v>
      </c>
      <c r="C139" s="6">
        <v>143.46846127000001</v>
      </c>
      <c r="D139" s="6">
        <v>2651.7504939600003</v>
      </c>
      <c r="E139" s="6">
        <v>1945.9636306800001</v>
      </c>
      <c r="F139" s="6">
        <v>91.518851850000004</v>
      </c>
      <c r="G139" s="6">
        <v>956.98792041000002</v>
      </c>
      <c r="H139" s="6">
        <v>231.34517610999998</v>
      </c>
      <c r="I139" s="6">
        <v>117.00954554999998</v>
      </c>
      <c r="J139" s="6">
        <v>46.565018410000008</v>
      </c>
      <c r="K139" s="6">
        <v>245.29851591000002</v>
      </c>
      <c r="L139" s="6">
        <v>160</v>
      </c>
      <c r="M139" s="6">
        <v>0</v>
      </c>
      <c r="N139" s="6">
        <v>906.58177192999995</v>
      </c>
      <c r="O139" s="6">
        <v>158.12559654</v>
      </c>
      <c r="P139" s="6" t="s">
        <v>69</v>
      </c>
      <c r="Q139" s="6">
        <v>79.999026560000004</v>
      </c>
      <c r="R139" s="6">
        <v>44.757476660000002</v>
      </c>
      <c r="S139" s="6">
        <v>1448.6842743700001</v>
      </c>
      <c r="T139" s="6">
        <v>484.83765333999997</v>
      </c>
      <c r="U139" s="6">
        <v>11.414069780000002</v>
      </c>
      <c r="V139" s="6">
        <v>-0.99552272999999991</v>
      </c>
      <c r="W139" s="6">
        <v>0.42547611999999996</v>
      </c>
      <c r="X139" s="6" t="s">
        <v>69</v>
      </c>
      <c r="Y139" s="6">
        <v>99.828855869999998</v>
      </c>
      <c r="Z139" s="6">
        <v>2698.8</v>
      </c>
      <c r="AA139" s="6">
        <v>534.55544773999998</v>
      </c>
      <c r="AB139" s="6">
        <v>226.53580355999998</v>
      </c>
      <c r="AC139" s="6">
        <v>59.594556390000001</v>
      </c>
      <c r="AD139" s="6" t="s">
        <v>69</v>
      </c>
      <c r="AE139" s="6">
        <v>59.400345190000003</v>
      </c>
    </row>
    <row r="140" spans="1:31" ht="15.75" x14ac:dyDescent="0.25">
      <c r="A140" s="28">
        <v>39022</v>
      </c>
      <c r="B140" s="6">
        <v>3010.62296784</v>
      </c>
      <c r="C140" s="6">
        <v>152.74938417999999</v>
      </c>
      <c r="D140" s="6">
        <v>2727.9273789899999</v>
      </c>
      <c r="E140" s="6">
        <v>1964.3927917399999</v>
      </c>
      <c r="F140" s="6">
        <v>96.268426170000012</v>
      </c>
      <c r="G140" s="6">
        <v>1124.04762071</v>
      </c>
      <c r="H140" s="6">
        <v>246.38000865000006</v>
      </c>
      <c r="I140" s="6">
        <v>126.56992171999998</v>
      </c>
      <c r="J140" s="6">
        <v>24.158025879999993</v>
      </c>
      <c r="K140" s="6">
        <v>400.17421043999997</v>
      </c>
      <c r="L140" s="6">
        <v>160</v>
      </c>
      <c r="M140" s="6">
        <v>0</v>
      </c>
      <c r="N140" s="6">
        <v>983.06540890999986</v>
      </c>
      <c r="O140" s="6">
        <v>34.872261080000001</v>
      </c>
      <c r="P140" s="6" t="s">
        <v>69</v>
      </c>
      <c r="Q140" s="6">
        <v>78.451830470000004</v>
      </c>
      <c r="R140" s="6">
        <v>58.916071169999995</v>
      </c>
      <c r="S140" s="6">
        <v>1441.4482698100001</v>
      </c>
      <c r="T140" s="6">
        <v>494.37868558000002</v>
      </c>
      <c r="U140" s="6">
        <v>11.62978792</v>
      </c>
      <c r="V140" s="6">
        <v>-0.61029228000000002</v>
      </c>
      <c r="W140" s="6">
        <v>0.50574546999999992</v>
      </c>
      <c r="X140" s="6" t="s">
        <v>69</v>
      </c>
      <c r="Y140" s="6">
        <v>98.225745609999976</v>
      </c>
      <c r="Z140" s="6">
        <v>2704.4</v>
      </c>
      <c r="AA140" s="6">
        <v>546.57078442000011</v>
      </c>
      <c r="AB140" s="6">
        <v>232.31435553999995</v>
      </c>
      <c r="AC140" s="6">
        <v>58.341963659999976</v>
      </c>
      <c r="AD140" s="6" t="s">
        <v>69</v>
      </c>
      <c r="AE140" s="6">
        <v>35.997470490000012</v>
      </c>
    </row>
    <row r="141" spans="1:31" ht="15.75" x14ac:dyDescent="0.25">
      <c r="A141" s="28">
        <v>39052</v>
      </c>
      <c r="B141" s="6">
        <v>2727.9173516200003</v>
      </c>
      <c r="C141" s="6">
        <v>138.81586583000001</v>
      </c>
      <c r="D141" s="6">
        <v>3367.7755995799998</v>
      </c>
      <c r="E141" s="6">
        <v>1646.2499524300001</v>
      </c>
      <c r="F141" s="6">
        <v>102.9384558</v>
      </c>
      <c r="G141" s="6">
        <v>1203.5488175</v>
      </c>
      <c r="H141" s="6">
        <v>242.80640527000003</v>
      </c>
      <c r="I141" s="6">
        <v>128.41967516000003</v>
      </c>
      <c r="J141" s="6">
        <v>32.50687362</v>
      </c>
      <c r="K141" s="6">
        <v>350.02737990999998</v>
      </c>
      <c r="L141" s="6">
        <v>160</v>
      </c>
      <c r="M141" s="6">
        <v>0</v>
      </c>
      <c r="N141" s="6">
        <v>1455.440104</v>
      </c>
      <c r="O141" s="6">
        <v>158.18362060999999</v>
      </c>
      <c r="P141" s="6" t="s">
        <v>69</v>
      </c>
      <c r="Q141" s="6">
        <v>78.645206510000008</v>
      </c>
      <c r="R141" s="6">
        <v>70.32189683</v>
      </c>
      <c r="S141" s="6">
        <v>1269.3757362599999</v>
      </c>
      <c r="T141" s="6">
        <v>429.47344349999997</v>
      </c>
      <c r="U141" s="6">
        <v>10.201213639999999</v>
      </c>
      <c r="V141" s="6">
        <v>-2.0910527599999997</v>
      </c>
      <c r="W141" s="6">
        <v>0.53238386000000004</v>
      </c>
      <c r="X141" s="6" t="s">
        <v>69</v>
      </c>
      <c r="Y141" s="6">
        <v>81.545479230000012</v>
      </c>
      <c r="Z141" s="6">
        <v>2782.9</v>
      </c>
      <c r="AA141" s="6">
        <v>553.39885475000005</v>
      </c>
      <c r="AB141" s="6">
        <v>230.07063705000002</v>
      </c>
      <c r="AC141" s="6">
        <v>58.506544519999998</v>
      </c>
      <c r="AD141" s="6" t="s">
        <v>69</v>
      </c>
      <c r="AE141" s="6">
        <v>76.822574689999925</v>
      </c>
    </row>
    <row r="142" spans="1:31" ht="15.75" x14ac:dyDescent="0.25">
      <c r="A142" s="28">
        <v>39083</v>
      </c>
      <c r="B142" s="6">
        <v>2851.6</v>
      </c>
      <c r="C142" s="6">
        <v>149.5</v>
      </c>
      <c r="D142" s="6">
        <v>3246.7</v>
      </c>
      <c r="E142" s="6">
        <v>1825.9</v>
      </c>
      <c r="F142" s="6">
        <v>90.6</v>
      </c>
      <c r="G142" s="6">
        <v>1062.0999999999999</v>
      </c>
      <c r="H142" s="6">
        <v>263.99722267999999</v>
      </c>
      <c r="I142" s="6">
        <v>141.04127566</v>
      </c>
      <c r="J142" s="6">
        <v>52.103400000000001</v>
      </c>
      <c r="K142" s="6">
        <v>449.4</v>
      </c>
      <c r="L142" s="6">
        <v>160</v>
      </c>
      <c r="M142" s="6" t="s">
        <v>69</v>
      </c>
      <c r="N142" s="6">
        <v>472.84924837000005</v>
      </c>
      <c r="O142" s="6">
        <v>40.299999999999997</v>
      </c>
      <c r="P142" s="6" t="s">
        <v>69</v>
      </c>
      <c r="Q142" s="6">
        <v>83.002685719999988</v>
      </c>
      <c r="R142" s="6">
        <v>70.180781289999985</v>
      </c>
      <c r="S142" s="6">
        <v>1249.2</v>
      </c>
      <c r="T142" s="6">
        <v>473.05664246999999</v>
      </c>
      <c r="U142" s="6">
        <v>11.486030190000001</v>
      </c>
      <c r="V142" s="6">
        <v>2.0472990200000001</v>
      </c>
      <c r="W142" s="6">
        <v>0.34559514000000002</v>
      </c>
      <c r="X142" s="6" t="s">
        <v>69</v>
      </c>
      <c r="Y142" s="6">
        <v>84.021825769999992</v>
      </c>
      <c r="Z142" s="6">
        <v>3970</v>
      </c>
      <c r="AA142" s="6">
        <v>807.32128575000002</v>
      </c>
      <c r="AB142" s="6">
        <v>327.21559079000008</v>
      </c>
      <c r="AC142" s="6">
        <v>62.258213230000003</v>
      </c>
      <c r="AD142" s="6" t="s">
        <v>69</v>
      </c>
      <c r="AE142" s="6">
        <v>54.332405009999967</v>
      </c>
    </row>
    <row r="143" spans="1:31" ht="15.75" x14ac:dyDescent="0.25">
      <c r="A143" s="28">
        <v>39114</v>
      </c>
      <c r="B143" s="6">
        <v>2557.6999999999998</v>
      </c>
      <c r="C143" s="6">
        <v>127.1</v>
      </c>
      <c r="D143" s="6">
        <v>2912.6</v>
      </c>
      <c r="E143" s="6">
        <v>1706.5</v>
      </c>
      <c r="F143" s="6">
        <v>93.2</v>
      </c>
      <c r="G143" s="6">
        <v>1127.5999999999999</v>
      </c>
      <c r="H143" s="6">
        <v>246.97942981000003</v>
      </c>
      <c r="I143" s="6">
        <v>135.70528607999998</v>
      </c>
      <c r="J143" s="6">
        <v>25.839777739999999</v>
      </c>
      <c r="K143" s="6">
        <v>349.8</v>
      </c>
      <c r="L143" s="6">
        <v>160</v>
      </c>
      <c r="M143" s="6" t="s">
        <v>69</v>
      </c>
      <c r="N143" s="6">
        <v>1014.3511486500001</v>
      </c>
      <c r="O143" s="6">
        <v>150.69999999999999</v>
      </c>
      <c r="P143" s="6" t="s">
        <v>69</v>
      </c>
      <c r="Q143" s="6">
        <v>76.129373939999979</v>
      </c>
      <c r="R143" s="6">
        <v>62.229966099999999</v>
      </c>
      <c r="S143" s="6">
        <v>1047.3</v>
      </c>
      <c r="T143" s="6">
        <v>440.41217889999996</v>
      </c>
      <c r="U143" s="6">
        <v>10.314099169999999</v>
      </c>
      <c r="V143" s="6">
        <v>0.2975971</v>
      </c>
      <c r="W143" s="6">
        <v>0.47717831000000005</v>
      </c>
      <c r="X143" s="6" t="s">
        <v>69</v>
      </c>
      <c r="Y143" s="6">
        <v>82.702845550000006</v>
      </c>
      <c r="Z143" s="6">
        <v>3198.4</v>
      </c>
      <c r="AA143" s="6">
        <v>597.14572553999994</v>
      </c>
      <c r="AB143" s="6">
        <v>254.89210929999999</v>
      </c>
      <c r="AC143" s="6">
        <v>54.992459000000004</v>
      </c>
      <c r="AD143" s="6" t="s">
        <v>69</v>
      </c>
      <c r="AE143" s="6">
        <v>5.2994242600000394</v>
      </c>
    </row>
    <row r="144" spans="1:31" ht="15.75" x14ac:dyDescent="0.25">
      <c r="A144" s="28">
        <v>39142</v>
      </c>
      <c r="B144" s="6">
        <v>2383.6579904499999</v>
      </c>
      <c r="C144" s="6">
        <v>157.04788611999999</v>
      </c>
      <c r="D144" s="6">
        <v>2867.9666099599999</v>
      </c>
      <c r="E144" s="6">
        <v>2037.1625015899999</v>
      </c>
      <c r="F144" s="6">
        <v>93.835795650000009</v>
      </c>
      <c r="G144" s="6">
        <v>1024.8152577400001</v>
      </c>
      <c r="H144" s="6">
        <v>215.81837901999998</v>
      </c>
      <c r="I144" s="6">
        <v>130.57843957999998</v>
      </c>
      <c r="J144" s="6">
        <v>33.795528080000004</v>
      </c>
      <c r="K144" s="6">
        <v>400.60435773</v>
      </c>
      <c r="L144" s="6">
        <v>200</v>
      </c>
      <c r="M144" s="6" t="s">
        <v>69</v>
      </c>
      <c r="N144" s="6">
        <v>860.56392581</v>
      </c>
      <c r="O144" s="6">
        <v>36.836177679999999</v>
      </c>
      <c r="P144" s="6" t="s">
        <v>69</v>
      </c>
      <c r="Q144" s="6">
        <v>86.48363344000002</v>
      </c>
      <c r="R144" s="6">
        <v>62.677568739999998</v>
      </c>
      <c r="S144" s="6">
        <v>1471.4334887699999</v>
      </c>
      <c r="T144" s="6">
        <v>538.14596570000003</v>
      </c>
      <c r="U144" s="6">
        <v>12.01398069</v>
      </c>
      <c r="V144" s="6">
        <v>0.23696092999999999</v>
      </c>
      <c r="W144" s="6">
        <v>0.53137841999999991</v>
      </c>
      <c r="X144" s="6" t="s">
        <v>69</v>
      </c>
      <c r="Y144" s="6">
        <v>102.03145637999999</v>
      </c>
      <c r="Z144" s="6">
        <v>3216.6</v>
      </c>
      <c r="AA144" s="6">
        <v>598.02972237999995</v>
      </c>
      <c r="AB144" s="6">
        <v>259.41616975999995</v>
      </c>
      <c r="AC144" s="6">
        <v>62.458539920000007</v>
      </c>
      <c r="AD144" s="6" t="s">
        <v>69</v>
      </c>
      <c r="AE144" s="6">
        <v>-49.881973070000022</v>
      </c>
    </row>
    <row r="145" spans="1:31" ht="15.75" x14ac:dyDescent="0.25">
      <c r="A145" s="28">
        <v>39173</v>
      </c>
      <c r="B145" s="6">
        <v>1993.8178740800004</v>
      </c>
      <c r="C145" s="6">
        <v>138.06396158999999</v>
      </c>
      <c r="D145" s="6">
        <v>2930.2725630800001</v>
      </c>
      <c r="E145" s="6">
        <v>1788.56132379</v>
      </c>
      <c r="F145" s="6">
        <v>87.369055809999992</v>
      </c>
      <c r="G145" s="6">
        <v>1050.75900959</v>
      </c>
      <c r="H145" s="6">
        <v>273.28995483000006</v>
      </c>
      <c r="I145" s="6">
        <v>118.55855951999999</v>
      </c>
      <c r="J145" s="6">
        <v>36.622746770000006</v>
      </c>
      <c r="K145" s="6">
        <v>350.00175739000002</v>
      </c>
      <c r="L145" s="6">
        <v>180</v>
      </c>
      <c r="M145" s="6" t="s">
        <v>69</v>
      </c>
      <c r="N145" s="6">
        <v>1029.7960274499999</v>
      </c>
      <c r="O145" s="6">
        <v>133.10102919999997</v>
      </c>
      <c r="P145" s="6" t="s">
        <v>69</v>
      </c>
      <c r="Q145" s="6">
        <v>82.47206166999996</v>
      </c>
      <c r="R145" s="6">
        <v>59.301305839999998</v>
      </c>
      <c r="S145" s="6">
        <v>1450.6108710699998</v>
      </c>
      <c r="T145" s="6">
        <v>465.61793843999999</v>
      </c>
      <c r="U145" s="6">
        <v>10.855783889999996</v>
      </c>
      <c r="V145" s="6">
        <v>0.12652155000000001</v>
      </c>
      <c r="W145" s="6">
        <v>0.35140028000000001</v>
      </c>
      <c r="X145" s="6" t="s">
        <v>69</v>
      </c>
      <c r="Y145" s="6">
        <v>92.017965110000006</v>
      </c>
      <c r="Z145" s="6">
        <v>3192.8</v>
      </c>
      <c r="AA145" s="6">
        <v>592.61377739</v>
      </c>
      <c r="AB145" s="6">
        <v>255.00996734000003</v>
      </c>
      <c r="AC145" s="6">
        <v>58.861020199999977</v>
      </c>
      <c r="AD145" s="6" t="s">
        <v>69</v>
      </c>
      <c r="AE145" s="6">
        <v>30.089037749999999</v>
      </c>
    </row>
    <row r="146" spans="1:31" ht="15.75" x14ac:dyDescent="0.25">
      <c r="A146" s="28">
        <v>39203</v>
      </c>
      <c r="B146" s="6">
        <v>5164.9459382700006</v>
      </c>
      <c r="C146" s="6">
        <v>157.33699051000002</v>
      </c>
      <c r="D146" s="6">
        <v>3163.3315620099993</v>
      </c>
      <c r="E146" s="6">
        <v>2108.8035501300001</v>
      </c>
      <c r="F146" s="6">
        <v>176.62517778999998</v>
      </c>
      <c r="G146" s="6">
        <v>1280.3320765399999</v>
      </c>
      <c r="H146" s="6">
        <v>224.80384002999998</v>
      </c>
      <c r="I146" s="6">
        <v>128.28765527000002</v>
      </c>
      <c r="J146" s="6">
        <v>46.452083079999994</v>
      </c>
      <c r="K146" s="6">
        <v>220.10307348000001</v>
      </c>
      <c r="L146" s="6">
        <v>60</v>
      </c>
      <c r="M146" s="6" t="s">
        <v>69</v>
      </c>
      <c r="N146" s="6">
        <v>964.13008576000004</v>
      </c>
      <c r="O146" s="6">
        <v>1005.7551973500001</v>
      </c>
      <c r="P146" s="6" t="s">
        <v>69</v>
      </c>
      <c r="Q146" s="6">
        <v>87.390075430000024</v>
      </c>
      <c r="R146" s="6">
        <v>72.356042190000011</v>
      </c>
      <c r="S146" s="6">
        <v>1790.8751611600001</v>
      </c>
      <c r="T146" s="6">
        <v>520.22059110999999</v>
      </c>
      <c r="U146" s="6">
        <v>11.932035070000001</v>
      </c>
      <c r="V146" s="6">
        <v>4.9894980000000005E-2</v>
      </c>
      <c r="W146" s="6">
        <v>0.48714016999999987</v>
      </c>
      <c r="X146" s="6" t="s">
        <v>69</v>
      </c>
      <c r="Y146" s="6">
        <v>105.15304244999999</v>
      </c>
      <c r="Z146" s="6">
        <v>3330.8</v>
      </c>
      <c r="AA146" s="6">
        <v>659.89844222999989</v>
      </c>
      <c r="AB146" s="6">
        <v>267.49444340999997</v>
      </c>
      <c r="AC146" s="6">
        <v>62.500824609999988</v>
      </c>
      <c r="AD146" s="6" t="s">
        <v>69</v>
      </c>
      <c r="AE146" s="6">
        <v>-1.4891568100000059</v>
      </c>
    </row>
    <row r="147" spans="1:31" ht="15.75" x14ac:dyDescent="0.25">
      <c r="A147" s="28">
        <v>39234</v>
      </c>
      <c r="B147" s="6">
        <v>5293.7209671500004</v>
      </c>
      <c r="C147" s="6">
        <v>159.02086890999999</v>
      </c>
      <c r="D147" s="6">
        <v>3228.4318145499997</v>
      </c>
      <c r="E147" s="6">
        <v>2107.4140138000002</v>
      </c>
      <c r="F147" s="6">
        <v>79.296927300000007</v>
      </c>
      <c r="G147" s="6">
        <v>1323.19983555</v>
      </c>
      <c r="H147" s="6">
        <v>240.41591075000005</v>
      </c>
      <c r="I147" s="6">
        <v>131.19999193999999</v>
      </c>
      <c r="J147" s="6">
        <v>23.871582449999991</v>
      </c>
      <c r="K147" s="6">
        <v>279.86157937999997</v>
      </c>
      <c r="L147" s="6">
        <v>120</v>
      </c>
      <c r="M147" s="6" t="s">
        <v>69</v>
      </c>
      <c r="N147" s="6">
        <v>981.62432379999996</v>
      </c>
      <c r="O147" s="6">
        <v>286.45830650999994</v>
      </c>
      <c r="P147" s="6" t="s">
        <v>69</v>
      </c>
      <c r="Q147" s="6">
        <v>86.955334279999974</v>
      </c>
      <c r="R147" s="6">
        <v>78.297225559999987</v>
      </c>
      <c r="S147" s="6">
        <v>1525.8739402599999</v>
      </c>
      <c r="T147" s="6">
        <v>522.81282689</v>
      </c>
      <c r="U147" s="6">
        <v>12.085703990000001</v>
      </c>
      <c r="V147" s="6">
        <v>1.8578250000000004E-2</v>
      </c>
      <c r="W147" s="6">
        <v>0.32448520000000003</v>
      </c>
      <c r="X147" s="6" t="s">
        <v>69</v>
      </c>
      <c r="Y147" s="6">
        <v>100.53045954</v>
      </c>
      <c r="Z147" s="6">
        <v>3374.1</v>
      </c>
      <c r="AA147" s="6">
        <v>623.22709936999991</v>
      </c>
      <c r="AB147" s="6">
        <v>273.36340164999996</v>
      </c>
      <c r="AC147" s="6">
        <v>60.565259420000011</v>
      </c>
      <c r="AD147" s="6" t="s">
        <v>69</v>
      </c>
      <c r="AE147" s="6">
        <v>71.11692821000004</v>
      </c>
    </row>
    <row r="148" spans="1:31" ht="15.75" x14ac:dyDescent="0.25">
      <c r="A148" s="28">
        <v>39264</v>
      </c>
      <c r="B148" s="6">
        <v>3195.2</v>
      </c>
      <c r="C148" s="6">
        <v>200</v>
      </c>
      <c r="D148" s="6">
        <v>3380.7</v>
      </c>
      <c r="E148" s="6">
        <v>2524.6999999999998</v>
      </c>
      <c r="F148" s="6">
        <v>83</v>
      </c>
      <c r="G148" s="6">
        <v>1235.8</v>
      </c>
      <c r="H148" s="6">
        <v>220.67754102000001</v>
      </c>
      <c r="I148" s="6">
        <v>126.33034167000001</v>
      </c>
      <c r="J148" s="6">
        <v>48.407196160000005</v>
      </c>
      <c r="K148" s="6">
        <v>279.89999999999998</v>
      </c>
      <c r="L148" s="6">
        <v>120</v>
      </c>
      <c r="M148" s="6" t="s">
        <v>69</v>
      </c>
      <c r="N148" s="6">
        <v>1026.7948395299998</v>
      </c>
      <c r="O148" s="6">
        <v>149</v>
      </c>
      <c r="P148" s="6" t="s">
        <v>69</v>
      </c>
      <c r="Q148" s="6">
        <v>89.857276710000008</v>
      </c>
      <c r="R148" s="6">
        <v>78.090372190000011</v>
      </c>
      <c r="S148" s="6">
        <v>1637.6</v>
      </c>
      <c r="T148" s="6">
        <v>588.9530289500002</v>
      </c>
      <c r="U148" s="6">
        <v>13.606049229999998</v>
      </c>
      <c r="V148" s="6">
        <v>0.13545023999999994</v>
      </c>
      <c r="W148" s="6">
        <v>2.4000054100000003</v>
      </c>
      <c r="X148" s="6" t="s">
        <v>69</v>
      </c>
      <c r="Y148" s="6">
        <v>119.69627627999998</v>
      </c>
      <c r="Z148" s="6">
        <v>4572.2</v>
      </c>
      <c r="AA148" s="6">
        <v>947.33386548999988</v>
      </c>
      <c r="AB148" s="6">
        <v>371.65878514999997</v>
      </c>
      <c r="AC148" s="6">
        <v>62.92799448000001</v>
      </c>
      <c r="AD148" s="6" t="s">
        <v>69</v>
      </c>
      <c r="AE148" s="6">
        <v>-16.291985219999965</v>
      </c>
    </row>
    <row r="149" spans="1:31" ht="15.75" x14ac:dyDescent="0.25">
      <c r="A149" s="28">
        <v>39295</v>
      </c>
      <c r="B149" s="6">
        <v>3587.91962371</v>
      </c>
      <c r="C149" s="6">
        <v>230.72456983000001</v>
      </c>
      <c r="D149" s="6">
        <v>3479.0158872400002</v>
      </c>
      <c r="E149" s="6">
        <v>2785.8912389900001</v>
      </c>
      <c r="F149" s="6">
        <v>93.819241689999998</v>
      </c>
      <c r="G149" s="6">
        <v>1363.66154557</v>
      </c>
      <c r="H149" s="6">
        <v>256.55949922000002</v>
      </c>
      <c r="I149" s="6">
        <v>137.78038599000001</v>
      </c>
      <c r="J149" s="6">
        <v>34.599100200000002</v>
      </c>
      <c r="K149" s="6">
        <v>280.17647607999999</v>
      </c>
      <c r="L149" s="6">
        <v>127.5</v>
      </c>
      <c r="M149" s="6" t="s">
        <v>69</v>
      </c>
      <c r="N149" s="6">
        <v>1186.8064153400001</v>
      </c>
      <c r="O149" s="6">
        <v>202.14862293000002</v>
      </c>
      <c r="P149" s="6" t="s">
        <v>69</v>
      </c>
      <c r="Q149" s="6">
        <v>91.790675230000033</v>
      </c>
      <c r="R149" s="6">
        <v>80.252380849999994</v>
      </c>
      <c r="S149" s="6">
        <v>1666.7588550400003</v>
      </c>
      <c r="T149" s="6">
        <v>646.22901266999997</v>
      </c>
      <c r="U149" s="6">
        <v>14.293653869999998</v>
      </c>
      <c r="V149" s="6">
        <v>5.7528370000000002E-2</v>
      </c>
      <c r="W149" s="6">
        <v>0.59269373000000003</v>
      </c>
      <c r="X149" s="6" t="s">
        <v>69</v>
      </c>
      <c r="Y149" s="6">
        <v>130.46271302999997</v>
      </c>
      <c r="Z149" s="6">
        <v>3612.4</v>
      </c>
      <c r="AA149" s="6">
        <v>680.86761356999978</v>
      </c>
      <c r="AB149" s="6">
        <v>300.19756762999998</v>
      </c>
      <c r="AC149" s="6">
        <v>64.306475710000001</v>
      </c>
      <c r="AD149" s="6" t="s">
        <v>69</v>
      </c>
      <c r="AE149" s="6">
        <v>10.810428260000055</v>
      </c>
    </row>
    <row r="150" spans="1:31" ht="15.75" x14ac:dyDescent="0.25">
      <c r="A150" s="28">
        <v>39326</v>
      </c>
      <c r="B150" s="6">
        <v>3318.5</v>
      </c>
      <c r="C150" s="6">
        <v>228.6</v>
      </c>
      <c r="D150" s="6">
        <v>3022.3</v>
      </c>
      <c r="E150" s="6">
        <v>2381.4</v>
      </c>
      <c r="F150" s="6">
        <v>148.5</v>
      </c>
      <c r="G150" s="6">
        <v>1367.1</v>
      </c>
      <c r="H150" s="6">
        <v>261.37318999000001</v>
      </c>
      <c r="I150" s="6">
        <v>158.18685081000004</v>
      </c>
      <c r="J150" s="6">
        <v>25.837189560000002</v>
      </c>
      <c r="K150" s="6">
        <v>279.89999999999998</v>
      </c>
      <c r="L150" s="6">
        <v>120</v>
      </c>
      <c r="M150" s="6" t="s">
        <v>69</v>
      </c>
      <c r="N150" s="6">
        <v>1211.1112190499998</v>
      </c>
      <c r="O150" s="6">
        <v>58.6</v>
      </c>
      <c r="P150" s="6" t="s">
        <v>69</v>
      </c>
      <c r="Q150" s="6">
        <v>90.125940729999996</v>
      </c>
      <c r="R150" s="6">
        <v>76.262031999999991</v>
      </c>
      <c r="S150" s="6">
        <v>1665.3</v>
      </c>
      <c r="T150" s="6">
        <v>592.01645286999997</v>
      </c>
      <c r="U150" s="6">
        <v>13.265957009999997</v>
      </c>
      <c r="V150" s="6">
        <v>9.4544700000000013E-3</v>
      </c>
      <c r="W150" s="6">
        <v>0.42515036000000012</v>
      </c>
      <c r="X150" s="6" t="s">
        <v>69</v>
      </c>
      <c r="Y150" s="6">
        <v>115.58126799999998</v>
      </c>
      <c r="Z150" s="6">
        <v>3666</v>
      </c>
      <c r="AA150" s="6">
        <v>674.30338416000018</v>
      </c>
      <c r="AB150" s="6">
        <v>291.12160728999993</v>
      </c>
      <c r="AC150" s="6">
        <v>63.417328810000001</v>
      </c>
      <c r="AD150" s="6" t="s">
        <v>69</v>
      </c>
      <c r="AE150" s="6">
        <v>14.231492519999968</v>
      </c>
    </row>
    <row r="151" spans="1:31" ht="15.75" x14ac:dyDescent="0.25">
      <c r="A151" s="28">
        <v>39356</v>
      </c>
      <c r="B151" s="6">
        <v>3071.7036384499997</v>
      </c>
      <c r="C151" s="6">
        <v>266.11827396000001</v>
      </c>
      <c r="D151" s="6">
        <v>3237.9539356499999</v>
      </c>
      <c r="E151" s="6">
        <v>2910.78456314</v>
      </c>
      <c r="F151" s="6">
        <v>114.09770657</v>
      </c>
      <c r="G151" s="6">
        <v>1316.7894311800001</v>
      </c>
      <c r="H151" s="6">
        <v>245.95485223000003</v>
      </c>
      <c r="I151" s="6">
        <v>159.60721965000002</v>
      </c>
      <c r="J151" s="6">
        <v>51.930487339999999</v>
      </c>
      <c r="K151" s="6">
        <v>355.02123167000002</v>
      </c>
      <c r="L151" s="6">
        <v>315</v>
      </c>
      <c r="M151" s="6" t="s">
        <v>69</v>
      </c>
      <c r="N151" s="6">
        <v>1101.94291228</v>
      </c>
      <c r="O151" s="6">
        <v>193.40938143</v>
      </c>
      <c r="P151" s="6" t="s">
        <v>69</v>
      </c>
      <c r="Q151" s="6">
        <v>96.419787350000021</v>
      </c>
      <c r="R151" s="6">
        <v>74.409284530000008</v>
      </c>
      <c r="S151" s="6">
        <v>2121.25882895</v>
      </c>
      <c r="T151" s="6">
        <v>733.23071240999991</v>
      </c>
      <c r="U151" s="6">
        <v>16.212166549999996</v>
      </c>
      <c r="V151" s="6">
        <v>7.6169139999999996E-2</v>
      </c>
      <c r="W151" s="6">
        <v>1.8391516300000001</v>
      </c>
      <c r="X151" s="6" t="s">
        <v>69</v>
      </c>
      <c r="Y151" s="6">
        <v>137.13174164999998</v>
      </c>
      <c r="Z151" s="6">
        <v>3743.9</v>
      </c>
      <c r="AA151" s="6">
        <v>684.83567275000007</v>
      </c>
      <c r="AB151" s="6">
        <v>294.24475831999996</v>
      </c>
      <c r="AC151" s="6">
        <v>66.022394050000003</v>
      </c>
      <c r="AD151" s="6" t="s">
        <v>69</v>
      </c>
      <c r="AE151" s="6">
        <v>-1.921560889999957</v>
      </c>
    </row>
    <row r="152" spans="1:31" ht="15.75" x14ac:dyDescent="0.25">
      <c r="A152" s="28">
        <v>39387</v>
      </c>
      <c r="B152" s="6">
        <v>3464.5380623300002</v>
      </c>
      <c r="C152" s="6">
        <v>243.47398125999999</v>
      </c>
      <c r="D152" s="6">
        <v>3640.67545006</v>
      </c>
      <c r="E152" s="6">
        <v>2833.52757251</v>
      </c>
      <c r="F152" s="6">
        <v>119.01173152000001</v>
      </c>
      <c r="G152" s="6">
        <v>1504.9677104400002</v>
      </c>
      <c r="H152" s="6">
        <v>281.70960198999995</v>
      </c>
      <c r="I152" s="6">
        <v>187.55684223</v>
      </c>
      <c r="J152" s="6">
        <v>28.264037389999999</v>
      </c>
      <c r="K152" s="6">
        <v>599.93287281000005</v>
      </c>
      <c r="L152" s="6">
        <v>250</v>
      </c>
      <c r="M152" s="6" t="s">
        <v>69</v>
      </c>
      <c r="N152" s="6">
        <v>1212.0340344199999</v>
      </c>
      <c r="O152" s="6">
        <v>51.686611050000003</v>
      </c>
      <c r="P152" s="6" t="s">
        <v>69</v>
      </c>
      <c r="Q152" s="6">
        <v>96.356815880000028</v>
      </c>
      <c r="R152" s="6">
        <v>85.137796829999985</v>
      </c>
      <c r="S152" s="6">
        <v>2203.0793685999997</v>
      </c>
      <c r="T152" s="6">
        <v>730.38125832999981</v>
      </c>
      <c r="U152" s="6">
        <v>16.413225529999998</v>
      </c>
      <c r="V152" s="6">
        <v>3.728368E-2</v>
      </c>
      <c r="W152" s="6">
        <v>0.41394635000000013</v>
      </c>
      <c r="X152" s="6" t="s">
        <v>69</v>
      </c>
      <c r="Y152" s="6">
        <v>136.08647705999999</v>
      </c>
      <c r="Z152" s="6">
        <v>3804.8</v>
      </c>
      <c r="AA152" s="6">
        <v>698.55050111000003</v>
      </c>
      <c r="AB152" s="6">
        <v>306.45706072000002</v>
      </c>
      <c r="AC152" s="6">
        <v>66.10695527999998</v>
      </c>
      <c r="AD152" s="6" t="s">
        <v>69</v>
      </c>
      <c r="AE152" s="6">
        <v>-0.862688400000161</v>
      </c>
    </row>
    <row r="153" spans="1:31" ht="15.75" x14ac:dyDescent="0.25">
      <c r="A153" s="28">
        <v>39417</v>
      </c>
      <c r="B153" s="6">
        <v>3704.7434301899998</v>
      </c>
      <c r="C153" s="6">
        <v>209.85616514</v>
      </c>
      <c r="D153" s="6">
        <v>4150.2518001199996</v>
      </c>
      <c r="E153" s="6">
        <v>2388.1376126700002</v>
      </c>
      <c r="F153" s="6">
        <v>119.60524445999999</v>
      </c>
      <c r="G153" s="6">
        <v>1407.81566767</v>
      </c>
      <c r="H153" s="6">
        <v>289.74584869999995</v>
      </c>
      <c r="I153" s="6">
        <v>162.59834203</v>
      </c>
      <c r="J153" s="6">
        <v>39.352091200000004</v>
      </c>
      <c r="K153" s="6">
        <v>145.03014009999998</v>
      </c>
      <c r="L153" s="6">
        <v>100</v>
      </c>
      <c r="M153" s="6" t="s">
        <v>69</v>
      </c>
      <c r="N153" s="6">
        <v>1331.58452257</v>
      </c>
      <c r="O153" s="6">
        <v>183.88685487000001</v>
      </c>
      <c r="P153" s="6" t="s">
        <v>69</v>
      </c>
      <c r="Q153" s="6">
        <v>96.343988499999995</v>
      </c>
      <c r="R153" s="6">
        <v>78.259800349999992</v>
      </c>
      <c r="S153" s="6">
        <v>2620.4510547000004</v>
      </c>
      <c r="T153" s="6">
        <v>608.13285367000015</v>
      </c>
      <c r="U153" s="6">
        <v>13.603390579999999</v>
      </c>
      <c r="V153" s="6">
        <v>5.0619279999999996E-2</v>
      </c>
      <c r="W153" s="6">
        <v>0.56743572000000009</v>
      </c>
      <c r="X153" s="6" t="s">
        <v>69</v>
      </c>
      <c r="Y153" s="6">
        <v>113.82147199000002</v>
      </c>
      <c r="Z153" s="6">
        <v>3890.5</v>
      </c>
      <c r="AA153" s="6">
        <v>702.12041277999992</v>
      </c>
      <c r="AB153" s="6">
        <v>297.40269573</v>
      </c>
      <c r="AC153" s="6">
        <v>65.811467609999994</v>
      </c>
      <c r="AD153" s="6" t="s">
        <v>69</v>
      </c>
      <c r="AE153" s="6">
        <v>-77.916663329999935</v>
      </c>
    </row>
    <row r="154" spans="1:31" ht="15.75" x14ac:dyDescent="0.25">
      <c r="A154" s="28">
        <v>39448</v>
      </c>
      <c r="B154" s="6">
        <v>3702.9855524099994</v>
      </c>
      <c r="C154" s="6">
        <v>237.39089263</v>
      </c>
      <c r="D154" s="6">
        <v>4270.1206520300002</v>
      </c>
      <c r="E154" s="6">
        <v>2808.23044966</v>
      </c>
      <c r="F154" s="6">
        <v>105.29093810000002</v>
      </c>
      <c r="G154" s="6">
        <v>1579.6611691600001</v>
      </c>
      <c r="H154" s="6">
        <v>312.17710821000003</v>
      </c>
      <c r="I154" s="6">
        <v>179.76486380000003</v>
      </c>
      <c r="J154" s="6">
        <v>59.778561299999993</v>
      </c>
      <c r="K154" s="6">
        <v>350.10524354</v>
      </c>
      <c r="L154" s="6">
        <v>250</v>
      </c>
      <c r="M154" s="6" t="s">
        <v>69</v>
      </c>
      <c r="N154" s="6">
        <v>873.97305764000009</v>
      </c>
      <c r="O154" s="6">
        <v>42.744459470000002</v>
      </c>
      <c r="P154" s="6" t="s">
        <v>69</v>
      </c>
      <c r="Q154" s="6">
        <v>103.44182323999998</v>
      </c>
      <c r="R154" s="6">
        <v>77.279908579999997</v>
      </c>
      <c r="S154" s="6">
        <v>3215.2117975700003</v>
      </c>
      <c r="T154" s="6">
        <v>717.78691304000006</v>
      </c>
      <c r="U154" s="6">
        <v>15.870197840000005</v>
      </c>
      <c r="V154" s="6">
        <v>6.8031999999999997E-3</v>
      </c>
      <c r="W154" s="6">
        <v>0.61803196999999999</v>
      </c>
      <c r="X154" s="6" t="s">
        <v>69</v>
      </c>
      <c r="Y154" s="6">
        <v>125.93554500999998</v>
      </c>
      <c r="Z154" s="6">
        <v>5266.9</v>
      </c>
      <c r="AA154" s="6">
        <v>1063.8289044600001</v>
      </c>
      <c r="AB154" s="6">
        <v>432.72751629999993</v>
      </c>
      <c r="AC154" s="6">
        <v>71.892491950000021</v>
      </c>
      <c r="AD154" s="6" t="s">
        <v>69</v>
      </c>
      <c r="AE154" s="6">
        <v>37.59747971999996</v>
      </c>
    </row>
    <row r="155" spans="1:31" ht="15.75" x14ac:dyDescent="0.25">
      <c r="A155" s="28">
        <v>39479</v>
      </c>
      <c r="B155" s="6">
        <v>3593.5374467000001</v>
      </c>
      <c r="C155" s="6">
        <v>209.92627149</v>
      </c>
      <c r="D155" s="6">
        <v>3832.6269453600003</v>
      </c>
      <c r="E155" s="6">
        <v>2533.57874343</v>
      </c>
      <c r="F155" s="6">
        <v>95.518455009999997</v>
      </c>
      <c r="G155" s="6">
        <v>1505.0983166200001</v>
      </c>
      <c r="H155" s="6">
        <v>291.66974311999996</v>
      </c>
      <c r="I155" s="6">
        <v>159.90216346</v>
      </c>
      <c r="J155" s="6">
        <v>30.016785879999993</v>
      </c>
      <c r="K155" s="6">
        <v>450</v>
      </c>
      <c r="L155" s="6">
        <v>300</v>
      </c>
      <c r="M155" s="6" t="s">
        <v>69</v>
      </c>
      <c r="N155" s="6">
        <v>1422.2984475800001</v>
      </c>
      <c r="O155" s="6">
        <v>168.52031460000001</v>
      </c>
      <c r="P155" s="6" t="s">
        <v>69</v>
      </c>
      <c r="Q155" s="6">
        <v>101.23285044999999</v>
      </c>
      <c r="R155" s="6">
        <v>73.049530349999998</v>
      </c>
      <c r="S155" s="6">
        <v>2525.73841735</v>
      </c>
      <c r="T155" s="6">
        <v>641.00093002999995</v>
      </c>
      <c r="U155" s="6">
        <v>13.88043759</v>
      </c>
      <c r="V155" s="6">
        <v>1.071361E-2</v>
      </c>
      <c r="W155" s="6">
        <v>0.62852715999999997</v>
      </c>
      <c r="X155" s="6" t="s">
        <v>69</v>
      </c>
      <c r="Y155" s="6">
        <v>121.29638032000003</v>
      </c>
      <c r="Z155" s="6">
        <v>4506</v>
      </c>
      <c r="AA155" s="6">
        <v>779.29093562000025</v>
      </c>
      <c r="AB155" s="6">
        <v>330.32651553000005</v>
      </c>
      <c r="AC155" s="6">
        <v>66.793451770000004</v>
      </c>
      <c r="AD155" s="6" t="s">
        <v>69</v>
      </c>
      <c r="AE155" s="6">
        <v>81.601300810000026</v>
      </c>
    </row>
    <row r="156" spans="1:31" ht="15.75" x14ac:dyDescent="0.25">
      <c r="A156" s="28">
        <v>39508</v>
      </c>
      <c r="B156" s="6">
        <v>2849.7501601699996</v>
      </c>
      <c r="C156" s="6">
        <v>199.26475945999999</v>
      </c>
      <c r="D156" s="6">
        <v>3768.7467136400001</v>
      </c>
      <c r="E156" s="6">
        <v>2462.0490008399997</v>
      </c>
      <c r="F156" s="6">
        <v>96.031819539999987</v>
      </c>
      <c r="G156" s="6">
        <v>1274.24353705</v>
      </c>
      <c r="H156" s="6">
        <v>283.47222683000007</v>
      </c>
      <c r="I156" s="6">
        <v>131.58012690000001</v>
      </c>
      <c r="J156" s="6">
        <v>41.520235360000001</v>
      </c>
      <c r="K156" s="6">
        <v>475</v>
      </c>
      <c r="L156" s="6">
        <v>325</v>
      </c>
      <c r="M156" s="6" t="s">
        <v>69</v>
      </c>
      <c r="N156" s="6">
        <v>1271.3030365899999</v>
      </c>
      <c r="O156" s="6">
        <v>47.803115759999997</v>
      </c>
      <c r="P156" s="6" t="s">
        <v>69</v>
      </c>
      <c r="Q156" s="6">
        <v>97.459223600000001</v>
      </c>
      <c r="R156" s="6">
        <v>76.412018409999988</v>
      </c>
      <c r="S156" s="6">
        <v>2199.5194753000001</v>
      </c>
      <c r="T156" s="6">
        <v>669.87291468000001</v>
      </c>
      <c r="U156" s="6">
        <v>13.282172070000003</v>
      </c>
      <c r="V156" s="6">
        <v>2.8117970000000003E-2</v>
      </c>
      <c r="W156" s="6">
        <v>2.1970519399999997</v>
      </c>
      <c r="X156" s="6" t="s">
        <v>69</v>
      </c>
      <c r="Y156" s="6">
        <v>121.71544714000002</v>
      </c>
      <c r="Z156" s="6">
        <v>4329.8999999999996</v>
      </c>
      <c r="AA156" s="6">
        <v>758.99306668000008</v>
      </c>
      <c r="AB156" s="6">
        <v>322.64119893999998</v>
      </c>
      <c r="AC156" s="6">
        <v>67.836026880000006</v>
      </c>
      <c r="AD156" s="6" t="s">
        <v>69</v>
      </c>
      <c r="AE156" s="6">
        <v>59.75833656999994</v>
      </c>
    </row>
    <row r="157" spans="1:31" ht="15.75" x14ac:dyDescent="0.25">
      <c r="A157" s="28">
        <v>39539</v>
      </c>
      <c r="B157" s="6">
        <v>2778.1315678199999</v>
      </c>
      <c r="C157" s="6">
        <v>246.12438574999999</v>
      </c>
      <c r="D157" s="6">
        <v>4079.8353463200001</v>
      </c>
      <c r="E157" s="6">
        <v>2976.4536272799996</v>
      </c>
      <c r="F157" s="6">
        <v>97.580188510000013</v>
      </c>
      <c r="G157" s="6">
        <v>1605.0605286499999</v>
      </c>
      <c r="H157" s="6">
        <v>283.31054541000003</v>
      </c>
      <c r="I157" s="6">
        <v>186.13194711999998</v>
      </c>
      <c r="J157" s="6">
        <v>45.286183019999996</v>
      </c>
      <c r="K157" s="6">
        <v>475</v>
      </c>
      <c r="L157" s="6">
        <v>200</v>
      </c>
      <c r="M157" s="6" t="s">
        <v>69</v>
      </c>
      <c r="N157" s="6">
        <v>1269.7871352500001</v>
      </c>
      <c r="O157" s="6">
        <v>163.28672899000003</v>
      </c>
      <c r="P157" s="6" t="s">
        <v>69</v>
      </c>
      <c r="Q157" s="6">
        <v>111.15140186999997</v>
      </c>
      <c r="R157" s="6">
        <v>85.537147340000004</v>
      </c>
      <c r="S157" s="6">
        <v>2997.8563884200003</v>
      </c>
      <c r="T157" s="6">
        <v>777.16001309000012</v>
      </c>
      <c r="U157" s="6">
        <v>16.326259959999994</v>
      </c>
      <c r="V157" s="6">
        <v>8.4028300000000018E-3</v>
      </c>
      <c r="W157" s="6">
        <v>0.43057910999999982</v>
      </c>
      <c r="X157" s="6" t="s">
        <v>69</v>
      </c>
      <c r="Y157" s="6">
        <v>141.49995931000001</v>
      </c>
      <c r="Z157" s="6">
        <v>4700.3</v>
      </c>
      <c r="AA157" s="6">
        <v>798.48611224000012</v>
      </c>
      <c r="AB157" s="6">
        <v>347.20698071999993</v>
      </c>
      <c r="AC157" s="6">
        <v>85.567232399999995</v>
      </c>
      <c r="AD157" s="6" t="s">
        <v>69</v>
      </c>
      <c r="AE157" s="6">
        <v>-37.85452658000024</v>
      </c>
    </row>
    <row r="158" spans="1:31" ht="15.75" x14ac:dyDescent="0.25">
      <c r="A158" s="28">
        <v>39569</v>
      </c>
      <c r="B158" s="6">
        <v>5031.1000000000004</v>
      </c>
      <c r="C158" s="6">
        <v>244.7</v>
      </c>
      <c r="D158" s="6">
        <v>4149</v>
      </c>
      <c r="E158" s="6">
        <v>3162.3</v>
      </c>
      <c r="F158" s="6">
        <v>176.8</v>
      </c>
      <c r="G158" s="6">
        <v>1685.8</v>
      </c>
      <c r="H158" s="6">
        <v>287.54717099000004</v>
      </c>
      <c r="I158" s="6">
        <v>164.50931530000003</v>
      </c>
      <c r="J158" s="6">
        <v>41.39313817</v>
      </c>
      <c r="K158" s="6">
        <v>600</v>
      </c>
      <c r="L158" s="6">
        <v>150</v>
      </c>
      <c r="M158" s="6" t="s">
        <v>69</v>
      </c>
      <c r="N158" s="6">
        <v>1251.7024048800001</v>
      </c>
      <c r="O158" s="6">
        <v>1205.4000000000001</v>
      </c>
      <c r="P158" s="6" t="s">
        <v>69</v>
      </c>
      <c r="Q158" s="6">
        <v>112.63282986999998</v>
      </c>
      <c r="R158" s="6">
        <v>89.772050910000004</v>
      </c>
      <c r="S158" s="6">
        <v>3219.2</v>
      </c>
      <c r="T158" s="6">
        <v>715.22894630999986</v>
      </c>
      <c r="U158" s="6">
        <v>15.327554469999999</v>
      </c>
      <c r="V158" s="6">
        <v>1.7969120000000002E-2</v>
      </c>
      <c r="W158" s="6">
        <v>0.40274643999999998</v>
      </c>
      <c r="X158" s="6" t="s">
        <v>69</v>
      </c>
      <c r="Y158" s="6">
        <v>139.64756859000002</v>
      </c>
      <c r="Z158" s="6">
        <v>4913.3</v>
      </c>
      <c r="AA158" s="6">
        <v>827.82331122000005</v>
      </c>
      <c r="AB158" s="6">
        <v>360.22614188</v>
      </c>
      <c r="AC158" s="6">
        <v>87.815427079999964</v>
      </c>
      <c r="AD158" s="6" t="s">
        <v>69</v>
      </c>
      <c r="AE158" s="6">
        <v>1.3866872299998831</v>
      </c>
    </row>
    <row r="159" spans="1:31" ht="15.75" x14ac:dyDescent="0.25">
      <c r="A159" s="28">
        <v>39600</v>
      </c>
      <c r="B159" s="6">
        <v>6417.9529172299999</v>
      </c>
      <c r="C159" s="6">
        <v>253.61242964000002</v>
      </c>
      <c r="D159" s="6">
        <v>4029.8874892399999</v>
      </c>
      <c r="E159" s="6">
        <v>3199.6736919099999</v>
      </c>
      <c r="F159" s="6">
        <v>65.565615649999998</v>
      </c>
      <c r="G159" s="6">
        <v>1527.8286395300001</v>
      </c>
      <c r="H159" s="6">
        <v>302.40529719999989</v>
      </c>
      <c r="I159" s="6">
        <v>148.74148324000001</v>
      </c>
      <c r="J159" s="6">
        <v>41.701899400000009</v>
      </c>
      <c r="K159" s="6">
        <v>600</v>
      </c>
      <c r="L159" s="6">
        <v>140</v>
      </c>
      <c r="M159" s="6" t="s">
        <v>69</v>
      </c>
      <c r="N159" s="6">
        <v>1413.8062219500002</v>
      </c>
      <c r="O159" s="6">
        <v>402.81048032000001</v>
      </c>
      <c r="P159" s="6" t="s">
        <v>69</v>
      </c>
      <c r="Q159" s="6">
        <v>110.33604542</v>
      </c>
      <c r="R159" s="6">
        <v>85.990711349999984</v>
      </c>
      <c r="S159" s="6">
        <v>2297.7113407100001</v>
      </c>
      <c r="T159" s="6">
        <v>698.89253396999982</v>
      </c>
      <c r="U159" s="6">
        <v>14.520659899999998</v>
      </c>
      <c r="V159" s="6">
        <v>6.0033500000000002E-3</v>
      </c>
      <c r="W159" s="6">
        <v>0.42587844000000002</v>
      </c>
      <c r="X159" s="6" t="s">
        <v>69</v>
      </c>
      <c r="Y159" s="6">
        <v>139.49979264999999</v>
      </c>
      <c r="Z159" s="6">
        <v>4885</v>
      </c>
      <c r="AA159" s="6">
        <v>830.20643917000018</v>
      </c>
      <c r="AB159" s="6">
        <v>361.87385846000001</v>
      </c>
      <c r="AC159" s="6">
        <v>85.431760720000014</v>
      </c>
      <c r="AD159" s="6" t="s">
        <v>69</v>
      </c>
      <c r="AE159" s="6">
        <v>27.128390629999878</v>
      </c>
    </row>
    <row r="160" spans="1:31" ht="15.75" x14ac:dyDescent="0.25">
      <c r="A160" s="28">
        <v>39630</v>
      </c>
      <c r="B160" s="6">
        <v>4517.4162296300001</v>
      </c>
      <c r="C160" s="6">
        <v>311.50869576000002</v>
      </c>
      <c r="D160" s="6">
        <v>3947.2366312700005</v>
      </c>
      <c r="E160" s="6">
        <v>3490.5785897199999</v>
      </c>
      <c r="F160" s="6">
        <v>62.316111950000007</v>
      </c>
      <c r="G160" s="6">
        <v>1732.6574669700001</v>
      </c>
      <c r="H160" s="6">
        <v>279.72633429000001</v>
      </c>
      <c r="I160" s="6">
        <v>156.09312839000003</v>
      </c>
      <c r="J160" s="6">
        <v>54.963429070000004</v>
      </c>
      <c r="K160" s="6">
        <v>591</v>
      </c>
      <c r="L160" s="6">
        <v>179</v>
      </c>
      <c r="M160" s="6" t="s">
        <v>69</v>
      </c>
      <c r="N160" s="6">
        <v>1198.9994826000002</v>
      </c>
      <c r="O160" s="6">
        <v>277.82293311000001</v>
      </c>
      <c r="P160" s="6" t="s">
        <v>69</v>
      </c>
      <c r="Q160" s="6">
        <v>116.93756321999999</v>
      </c>
      <c r="R160" s="6">
        <v>86.56277741000001</v>
      </c>
      <c r="S160" s="6">
        <v>3366.4548786399996</v>
      </c>
      <c r="T160" s="6">
        <v>779.00189391000004</v>
      </c>
      <c r="U160" s="6">
        <v>16.481389869999997</v>
      </c>
      <c r="V160" s="6">
        <v>-0.49137342000000001</v>
      </c>
      <c r="W160" s="6">
        <v>0.46573088000000001</v>
      </c>
      <c r="X160" s="6" t="s">
        <v>69</v>
      </c>
      <c r="Y160" s="6">
        <v>153.77479158999998</v>
      </c>
      <c r="Z160" s="6">
        <v>6664.6</v>
      </c>
      <c r="AA160" s="6">
        <v>1221.9736445199999</v>
      </c>
      <c r="AB160" s="6">
        <v>504.39551422999995</v>
      </c>
      <c r="AC160" s="6">
        <v>91.645653579999987</v>
      </c>
      <c r="AD160" s="6" t="s">
        <v>69</v>
      </c>
      <c r="AE160" s="6">
        <v>51.049129659999821</v>
      </c>
    </row>
    <row r="161" spans="1:31" ht="15.75" x14ac:dyDescent="0.25">
      <c r="A161" s="28">
        <v>39661</v>
      </c>
      <c r="B161" s="6">
        <v>4662.8999999999996</v>
      </c>
      <c r="C161" s="6">
        <v>309.2</v>
      </c>
      <c r="D161" s="6">
        <v>4407.5</v>
      </c>
      <c r="E161" s="6">
        <v>3179.9</v>
      </c>
      <c r="F161" s="6">
        <v>57.9</v>
      </c>
      <c r="G161" s="6">
        <v>1745.3</v>
      </c>
      <c r="H161" s="6">
        <v>286.43669965999999</v>
      </c>
      <c r="I161" s="6">
        <v>165.72829251000002</v>
      </c>
      <c r="J161" s="6">
        <v>44.15561889</v>
      </c>
      <c r="K161" s="6">
        <v>480</v>
      </c>
      <c r="L161" s="6">
        <v>400</v>
      </c>
      <c r="M161" s="6" t="s">
        <v>69</v>
      </c>
      <c r="N161" s="6">
        <v>1296.0252427999999</v>
      </c>
      <c r="O161" s="6">
        <v>325.3</v>
      </c>
      <c r="P161" s="6" t="s">
        <v>69</v>
      </c>
      <c r="Q161" s="6">
        <v>114.96750456999999</v>
      </c>
      <c r="R161" s="6">
        <v>93.075453659999994</v>
      </c>
      <c r="S161" s="6">
        <v>3914.2</v>
      </c>
      <c r="T161" s="6">
        <v>754.44422951999979</v>
      </c>
      <c r="U161" s="6">
        <v>15.198610600000002</v>
      </c>
      <c r="V161" s="6">
        <v>1.1063420000000001E-2</v>
      </c>
      <c r="W161" s="6">
        <v>0.49641892000000004</v>
      </c>
      <c r="X161" s="6" t="s">
        <v>69</v>
      </c>
      <c r="Y161" s="6">
        <v>148.68363793</v>
      </c>
      <c r="Z161" s="6">
        <v>5162.3999999999996</v>
      </c>
      <c r="AA161" s="6">
        <v>946.35510176999981</v>
      </c>
      <c r="AB161" s="6">
        <v>393.84478285000006</v>
      </c>
      <c r="AC161" s="6">
        <v>88.671837839999995</v>
      </c>
      <c r="AD161" s="6" t="s">
        <v>69</v>
      </c>
      <c r="AE161" s="6">
        <v>97.620852649999577</v>
      </c>
    </row>
    <row r="162" spans="1:31" ht="15.75" x14ac:dyDescent="0.25">
      <c r="A162" s="28">
        <v>39692</v>
      </c>
      <c r="B162" s="6">
        <v>4083.8179934500004</v>
      </c>
      <c r="C162" s="6">
        <v>313.87460710000005</v>
      </c>
      <c r="D162" s="6">
        <v>4337.3950597900002</v>
      </c>
      <c r="E162" s="6">
        <v>3358.54801017</v>
      </c>
      <c r="F162" s="6">
        <v>56.381098439999995</v>
      </c>
      <c r="G162" s="6">
        <v>1684.4664865600002</v>
      </c>
      <c r="H162" s="6">
        <v>308.91812649999997</v>
      </c>
      <c r="I162" s="6">
        <v>163.88443256000005</v>
      </c>
      <c r="J162" s="6">
        <v>46.156668700000004</v>
      </c>
      <c r="K162" s="6">
        <v>400</v>
      </c>
      <c r="L162" s="6">
        <v>250</v>
      </c>
      <c r="M162" s="6" t="s">
        <v>69</v>
      </c>
      <c r="N162" s="6">
        <v>1314.6422245400004</v>
      </c>
      <c r="O162" s="6">
        <v>98.239263109999982</v>
      </c>
      <c r="P162" s="6" t="s">
        <v>69</v>
      </c>
      <c r="Q162" s="6">
        <v>119.76511593999999</v>
      </c>
      <c r="R162" s="6">
        <v>85.35567648</v>
      </c>
      <c r="S162" s="6">
        <v>4125.0179174000004</v>
      </c>
      <c r="T162" s="6">
        <v>774.86191380999992</v>
      </c>
      <c r="U162" s="6">
        <v>15.634487590000003</v>
      </c>
      <c r="V162" s="6">
        <v>4.0546999999999996E-3</v>
      </c>
      <c r="W162" s="6">
        <v>0.49679558000000007</v>
      </c>
      <c r="X162" s="6" t="s">
        <v>69</v>
      </c>
      <c r="Y162" s="6">
        <v>161.95692244</v>
      </c>
      <c r="Z162" s="6">
        <v>5350.9</v>
      </c>
      <c r="AA162" s="6">
        <v>916.66889926000022</v>
      </c>
      <c r="AB162" s="6">
        <v>404.70554426999996</v>
      </c>
      <c r="AC162" s="6">
        <v>93.209015399999984</v>
      </c>
      <c r="AD162" s="6" t="s">
        <v>69</v>
      </c>
      <c r="AE162" s="6">
        <v>-89.74630656000032</v>
      </c>
    </row>
    <row r="163" spans="1:31" ht="15.75" x14ac:dyDescent="0.25">
      <c r="A163" s="28">
        <v>39722</v>
      </c>
      <c r="B163" s="6">
        <v>4343.2619040399995</v>
      </c>
      <c r="C163" s="6">
        <v>339.20684761000001</v>
      </c>
      <c r="D163" s="6">
        <v>4331.0882264700003</v>
      </c>
      <c r="E163" s="6">
        <v>3328.29845484</v>
      </c>
      <c r="F163" s="6">
        <v>64.042919530000006</v>
      </c>
      <c r="G163" s="6">
        <v>1747.1805135299999</v>
      </c>
      <c r="H163" s="6">
        <v>310.54066390000003</v>
      </c>
      <c r="I163" s="6">
        <v>181.57069415000004</v>
      </c>
      <c r="J163" s="6">
        <v>44.752767909999996</v>
      </c>
      <c r="K163" s="6">
        <v>450</v>
      </c>
      <c r="L163" s="6">
        <v>300</v>
      </c>
      <c r="M163" s="6" t="s">
        <v>69</v>
      </c>
      <c r="N163" s="6">
        <v>1212.5909034400001</v>
      </c>
      <c r="O163" s="6">
        <v>292.39506022</v>
      </c>
      <c r="P163" s="6" t="s">
        <v>69</v>
      </c>
      <c r="Q163" s="6">
        <v>124.58124714</v>
      </c>
      <c r="R163" s="6">
        <v>89.886026880000017</v>
      </c>
      <c r="S163" s="6">
        <v>3764.8300719499998</v>
      </c>
      <c r="T163" s="6">
        <v>835.24030294000011</v>
      </c>
      <c r="U163" s="6">
        <v>17.454159050000001</v>
      </c>
      <c r="V163" s="6">
        <v>4.9541400000000001E-3</v>
      </c>
      <c r="W163" s="6">
        <v>0.51538298000000005</v>
      </c>
      <c r="X163" s="6" t="s">
        <v>69</v>
      </c>
      <c r="Y163" s="6">
        <v>165.38405832999999</v>
      </c>
      <c r="Z163" s="6">
        <v>5391.2</v>
      </c>
      <c r="AA163" s="6">
        <v>933.3724143300002</v>
      </c>
      <c r="AB163" s="6">
        <v>404.70515180000001</v>
      </c>
      <c r="AC163" s="6">
        <v>93.386348190000007</v>
      </c>
      <c r="AD163" s="6" t="s">
        <v>69</v>
      </c>
      <c r="AE163" s="6">
        <v>177.53299383999996</v>
      </c>
    </row>
    <row r="164" spans="1:31" ht="15.75" x14ac:dyDescent="0.25">
      <c r="A164" s="28">
        <v>39753</v>
      </c>
      <c r="B164" s="6">
        <v>3890.8280121200005</v>
      </c>
      <c r="C164" s="6">
        <v>286.65241592999996</v>
      </c>
      <c r="D164" s="6">
        <v>4531.1411289799998</v>
      </c>
      <c r="E164" s="6">
        <v>2773.1741273000002</v>
      </c>
      <c r="F164" s="6">
        <v>55.518294560000001</v>
      </c>
      <c r="G164" s="6">
        <v>1706.9166564699997</v>
      </c>
      <c r="H164" s="6">
        <v>335.89092074999996</v>
      </c>
      <c r="I164" s="6">
        <v>185.41343861000001</v>
      </c>
      <c r="J164" s="6">
        <v>51.598316239999996</v>
      </c>
      <c r="K164" s="6">
        <v>510</v>
      </c>
      <c r="L164" s="6">
        <v>300</v>
      </c>
      <c r="M164" s="6" t="s">
        <v>69</v>
      </c>
      <c r="N164" s="6">
        <v>1074.7729175300001</v>
      </c>
      <c r="O164" s="6">
        <v>69.982708590000016</v>
      </c>
      <c r="P164" s="6" t="s">
        <v>69</v>
      </c>
      <c r="Q164" s="6">
        <v>118.95989572999999</v>
      </c>
      <c r="R164" s="6">
        <v>83.673965870000004</v>
      </c>
      <c r="S164" s="6">
        <v>2201.22439596</v>
      </c>
      <c r="T164" s="6">
        <v>768.91994850000003</v>
      </c>
      <c r="U164" s="6">
        <v>16.190298540000001</v>
      </c>
      <c r="V164" s="6">
        <v>-1.1405817999999999</v>
      </c>
      <c r="W164" s="6">
        <v>0.63307760999999996</v>
      </c>
      <c r="X164" s="6" t="s">
        <v>69</v>
      </c>
      <c r="Y164" s="6">
        <v>145.25098417000001</v>
      </c>
      <c r="Z164" s="6">
        <v>5608.9</v>
      </c>
      <c r="AA164" s="6">
        <v>914.66043599999989</v>
      </c>
      <c r="AB164" s="6">
        <v>400.85738545999999</v>
      </c>
      <c r="AC164" s="6">
        <v>89.434646709999967</v>
      </c>
      <c r="AD164" s="6" t="s">
        <v>69</v>
      </c>
      <c r="AE164" s="6">
        <v>-167.11771661999975</v>
      </c>
    </row>
    <row r="165" spans="1:31" ht="15.75" x14ac:dyDescent="0.25">
      <c r="A165" s="28">
        <v>39783</v>
      </c>
      <c r="B165" s="6">
        <v>4585.2057338100003</v>
      </c>
      <c r="C165" s="6">
        <v>237.68151539000004</v>
      </c>
      <c r="D165" s="6">
        <v>4708.3464733999999</v>
      </c>
      <c r="E165" s="6">
        <v>2449.2142957400001</v>
      </c>
      <c r="F165" s="6">
        <v>54.814003229999997</v>
      </c>
      <c r="G165" s="6">
        <v>1700.9383355800001</v>
      </c>
      <c r="H165" s="6">
        <v>359.17209719000004</v>
      </c>
      <c r="I165" s="6">
        <v>165.96481668000004</v>
      </c>
      <c r="J165" s="6">
        <v>53.774571939999994</v>
      </c>
      <c r="K165" s="6">
        <v>505</v>
      </c>
      <c r="L165" s="6">
        <v>100</v>
      </c>
      <c r="M165" s="6" t="s">
        <v>69</v>
      </c>
      <c r="N165" s="6">
        <v>2178.0972632899998</v>
      </c>
      <c r="O165" s="6">
        <v>280.66632323000005</v>
      </c>
      <c r="P165" s="6" t="s">
        <v>69</v>
      </c>
      <c r="Q165" s="6">
        <v>123.24362117999999</v>
      </c>
      <c r="R165" s="6">
        <v>76.559071349999996</v>
      </c>
      <c r="S165" s="6">
        <v>2228.2834972500004</v>
      </c>
      <c r="T165" s="6">
        <v>670.86047398000005</v>
      </c>
      <c r="U165" s="6">
        <v>14.470292890000003</v>
      </c>
      <c r="V165" s="6">
        <v>9.7928500000000022E-3</v>
      </c>
      <c r="W165" s="6">
        <v>0.53294324999999998</v>
      </c>
      <c r="X165" s="6" t="s">
        <v>69</v>
      </c>
      <c r="Y165" s="6">
        <v>129.27746825000003</v>
      </c>
      <c r="Z165" s="6">
        <v>5466.2</v>
      </c>
      <c r="AA165" s="6">
        <v>1075.0174433400002</v>
      </c>
      <c r="AB165" s="6">
        <v>415.0866150899999</v>
      </c>
      <c r="AC165" s="6">
        <v>92.732591450000015</v>
      </c>
      <c r="AD165" s="6" t="s">
        <v>69</v>
      </c>
      <c r="AE165" s="6">
        <v>-2.5801259500001761</v>
      </c>
    </row>
    <row r="166" spans="1:31" ht="15.75" x14ac:dyDescent="0.25">
      <c r="A166" s="28">
        <v>39814</v>
      </c>
      <c r="B166" s="6">
        <v>3764.5829657200002</v>
      </c>
      <c r="C166" s="6">
        <v>185.50806577000003</v>
      </c>
      <c r="D166" s="6">
        <v>5172.3355830299997</v>
      </c>
      <c r="E166" s="6">
        <v>2083.8637986200001</v>
      </c>
      <c r="F166" s="6">
        <v>59.559291259999995</v>
      </c>
      <c r="G166" s="6">
        <v>1694.72541159</v>
      </c>
      <c r="H166" s="6">
        <v>353.13506455999999</v>
      </c>
      <c r="I166" s="6">
        <v>200.94856110999999</v>
      </c>
      <c r="J166" s="6">
        <v>51.573395649999995</v>
      </c>
      <c r="K166" s="6">
        <v>550</v>
      </c>
      <c r="L166" s="6">
        <v>100</v>
      </c>
      <c r="M166" s="6" t="s">
        <v>69</v>
      </c>
      <c r="N166" s="6">
        <v>851.99172708000003</v>
      </c>
      <c r="O166" s="6">
        <v>62.273080879999995</v>
      </c>
      <c r="P166" s="6" t="s">
        <v>69</v>
      </c>
      <c r="Q166" s="6">
        <v>117.29559868999999</v>
      </c>
      <c r="R166" s="6">
        <v>86.589042969999994</v>
      </c>
      <c r="S166" s="6">
        <v>2357.0616918500004</v>
      </c>
      <c r="T166" s="6">
        <v>599.23862943999995</v>
      </c>
      <c r="U166" s="6">
        <v>13.248888700000002</v>
      </c>
      <c r="V166" s="6">
        <v>8.6209400000000005E-3</v>
      </c>
      <c r="W166" s="6">
        <v>0.46657208000000006</v>
      </c>
      <c r="X166" s="6">
        <v>93.883876309999948</v>
      </c>
      <c r="Y166" s="6">
        <v>9.0608462100000615</v>
      </c>
      <c r="Z166" s="6">
        <v>7305</v>
      </c>
      <c r="AA166" s="6">
        <v>1506.1470859499996</v>
      </c>
      <c r="AB166" s="6">
        <v>568.99764980999987</v>
      </c>
      <c r="AC166" s="6">
        <v>89.764442029999998</v>
      </c>
      <c r="AD166" s="6" t="s">
        <v>69</v>
      </c>
      <c r="AE166" s="6">
        <v>56.523369379999806</v>
      </c>
    </row>
    <row r="167" spans="1:31" ht="15.75" x14ac:dyDescent="0.25">
      <c r="A167" s="28">
        <v>39845</v>
      </c>
      <c r="B167" s="6">
        <v>3595.07452328</v>
      </c>
      <c r="C167" s="6">
        <v>159.47725604999999</v>
      </c>
      <c r="D167" s="6">
        <v>4920.4390833100006</v>
      </c>
      <c r="E167" s="6">
        <v>1934.67435447</v>
      </c>
      <c r="F167" s="6">
        <v>158.01364231000002</v>
      </c>
      <c r="G167" s="6">
        <v>1519.12856379</v>
      </c>
      <c r="H167" s="6">
        <v>368.07916421000004</v>
      </c>
      <c r="I167" s="6">
        <v>198.76642700999997</v>
      </c>
      <c r="J167" s="6">
        <v>55.611166840000003</v>
      </c>
      <c r="K167" s="6">
        <v>110</v>
      </c>
      <c r="L167" s="6">
        <v>0</v>
      </c>
      <c r="M167" s="6" t="s">
        <v>69</v>
      </c>
      <c r="N167" s="6">
        <v>1596.2830388899999</v>
      </c>
      <c r="O167" s="6">
        <v>261.73015114000003</v>
      </c>
      <c r="P167" s="7" t="s">
        <v>69</v>
      </c>
      <c r="Q167" s="7">
        <v>116.40437095000001</v>
      </c>
      <c r="R167" s="6">
        <v>73.175127599999996</v>
      </c>
      <c r="S167" s="6">
        <v>2374.5806283700003</v>
      </c>
      <c r="T167" s="6">
        <v>487.04496320999988</v>
      </c>
      <c r="U167" s="6">
        <v>10.605811210000002</v>
      </c>
      <c r="V167" s="6">
        <v>3.8100699999999996E-3</v>
      </c>
      <c r="W167" s="6">
        <v>0.42397665000000007</v>
      </c>
      <c r="X167" s="6">
        <v>91.298080780000006</v>
      </c>
      <c r="Y167" s="6">
        <v>6.7225743400000031</v>
      </c>
      <c r="Z167" s="6">
        <v>5790.9</v>
      </c>
      <c r="AA167" s="6">
        <v>1118.13983022</v>
      </c>
      <c r="AB167" s="6">
        <v>429.55596101999998</v>
      </c>
      <c r="AC167" s="6">
        <v>100.39159649000001</v>
      </c>
      <c r="AD167" s="6" t="s">
        <v>69</v>
      </c>
      <c r="AE167" s="7">
        <v>-56.624822000000158</v>
      </c>
    </row>
    <row r="168" spans="1:31" ht="15.75" x14ac:dyDescent="0.25">
      <c r="A168" s="28">
        <v>39873</v>
      </c>
      <c r="B168" s="6">
        <v>3203.8055837599995</v>
      </c>
      <c r="C168" s="6">
        <v>170.81825078</v>
      </c>
      <c r="D168" s="6">
        <v>4692.3977982699998</v>
      </c>
      <c r="E168" s="6">
        <v>2125.67558672</v>
      </c>
      <c r="F168" s="6">
        <v>172.97740249</v>
      </c>
      <c r="G168" s="6">
        <v>1431.6294648799999</v>
      </c>
      <c r="H168" s="6">
        <v>326.81898548999993</v>
      </c>
      <c r="I168" s="6">
        <v>171.06028337000001</v>
      </c>
      <c r="J168" s="6">
        <v>49.382312549999995</v>
      </c>
      <c r="K168" s="6">
        <v>125</v>
      </c>
      <c r="L168" s="6">
        <v>0</v>
      </c>
      <c r="M168" s="6" t="s">
        <v>69</v>
      </c>
      <c r="N168" s="6">
        <v>1273.56038584</v>
      </c>
      <c r="O168" s="6">
        <v>65.547486379999981</v>
      </c>
      <c r="P168" s="6" t="s">
        <v>69</v>
      </c>
      <c r="Q168" s="6">
        <v>126.78422498</v>
      </c>
      <c r="R168" s="6">
        <v>70.590549230000008</v>
      </c>
      <c r="S168" s="6">
        <v>2159.18446202</v>
      </c>
      <c r="T168" s="6">
        <v>570.04996607999999</v>
      </c>
      <c r="U168" s="6">
        <v>12.744317150000001</v>
      </c>
      <c r="V168" s="6">
        <v>4.2418600000000001E-3</v>
      </c>
      <c r="W168" s="6">
        <v>0.50065183000000002</v>
      </c>
      <c r="X168" s="6">
        <v>95.976842310000009</v>
      </c>
      <c r="Y168" s="6">
        <v>13.220533940000001</v>
      </c>
      <c r="Z168" s="6">
        <v>5598.1</v>
      </c>
      <c r="AA168" s="6">
        <v>1120.7684809499997</v>
      </c>
      <c r="AB168" s="6">
        <v>429.13396918000012</v>
      </c>
      <c r="AC168" s="6">
        <v>105.55561909000001</v>
      </c>
      <c r="AD168" s="6" t="s">
        <v>69</v>
      </c>
      <c r="AE168" s="6">
        <v>204.25697343000007</v>
      </c>
    </row>
    <row r="169" spans="1:31" ht="15.75" x14ac:dyDescent="0.25">
      <c r="A169" s="28">
        <v>39904</v>
      </c>
      <c r="B169" s="6">
        <v>2940.9557602899999</v>
      </c>
      <c r="C169" s="6">
        <v>172.32987486000002</v>
      </c>
      <c r="D169" s="6">
        <v>4884.1184125500004</v>
      </c>
      <c r="E169" s="6">
        <v>2154.0056848200002</v>
      </c>
      <c r="F169" s="6">
        <v>148.61483388000002</v>
      </c>
      <c r="G169" s="6">
        <v>1668.1214744700001</v>
      </c>
      <c r="H169" s="6">
        <v>309.82114446999992</v>
      </c>
      <c r="I169" s="6">
        <v>170.76078279000006</v>
      </c>
      <c r="J169" s="6">
        <v>51.62396657</v>
      </c>
      <c r="K169" s="6">
        <v>100</v>
      </c>
      <c r="L169" s="6">
        <v>100</v>
      </c>
      <c r="M169" s="6" t="s">
        <v>69</v>
      </c>
      <c r="N169" s="6">
        <v>1483.1167308699999</v>
      </c>
      <c r="O169" s="6">
        <v>147.25344147999999</v>
      </c>
      <c r="P169" s="6" t="s">
        <v>69</v>
      </c>
      <c r="Q169" s="6">
        <v>126.09327051999998</v>
      </c>
      <c r="R169" s="6">
        <v>76.311876420000019</v>
      </c>
      <c r="S169" s="6">
        <v>3018.8657010200004</v>
      </c>
      <c r="T169" s="6">
        <v>589.2666694799999</v>
      </c>
      <c r="U169" s="6">
        <v>13.068685349999997</v>
      </c>
      <c r="V169" s="6">
        <v>3.7986699999999997E-3</v>
      </c>
      <c r="W169" s="6">
        <v>0.48606781999999998</v>
      </c>
      <c r="X169" s="6">
        <v>96.632182880000016</v>
      </c>
      <c r="Y169" s="6">
        <v>9.8816469000000016</v>
      </c>
      <c r="Z169" s="6">
        <v>5721.4</v>
      </c>
      <c r="AA169" s="6">
        <v>1129.93913668</v>
      </c>
      <c r="AB169" s="6">
        <v>427.15437496999994</v>
      </c>
      <c r="AC169" s="6">
        <v>105.74327002000001</v>
      </c>
      <c r="AD169" s="6" t="s">
        <v>69</v>
      </c>
      <c r="AE169" s="6">
        <v>253.75372929999983</v>
      </c>
    </row>
    <row r="170" spans="1:31" ht="15.75" x14ac:dyDescent="0.25">
      <c r="A170" s="28">
        <v>39934</v>
      </c>
      <c r="B170" s="6">
        <v>6349.2317942600002</v>
      </c>
      <c r="C170" s="6">
        <v>169.00847955</v>
      </c>
      <c r="D170" s="6">
        <v>4986.5720032099998</v>
      </c>
      <c r="E170" s="6">
        <v>2114.4305949499999</v>
      </c>
      <c r="F170" s="6">
        <v>139.45650109000002</v>
      </c>
      <c r="G170" s="6">
        <v>1717.17980016</v>
      </c>
      <c r="H170" s="6">
        <v>396.36418249999997</v>
      </c>
      <c r="I170" s="6">
        <v>181.48608768999995</v>
      </c>
      <c r="J170" s="6">
        <v>59.460631569999997</v>
      </c>
      <c r="K170" s="6">
        <v>370</v>
      </c>
      <c r="L170" s="6">
        <v>127</v>
      </c>
      <c r="M170" s="6" t="s">
        <v>69</v>
      </c>
      <c r="N170" s="6">
        <v>1432.3933388900002</v>
      </c>
      <c r="O170" s="6">
        <v>1229.0339459000002</v>
      </c>
      <c r="P170" s="6" t="s">
        <v>69</v>
      </c>
      <c r="Q170" s="6">
        <v>122.16296553000002</v>
      </c>
      <c r="R170" s="6">
        <v>82.638249850000008</v>
      </c>
      <c r="S170" s="6">
        <v>2907.1898280700002</v>
      </c>
      <c r="T170" s="6">
        <v>539.95326867999995</v>
      </c>
      <c r="U170" s="6">
        <v>12.19565717</v>
      </c>
      <c r="V170" s="6">
        <v>2.1748399999999995E-3</v>
      </c>
      <c r="W170" s="6">
        <v>0.33766834999999995</v>
      </c>
      <c r="X170" s="6">
        <v>91.125928859999988</v>
      </c>
      <c r="Y170" s="6">
        <v>9.6698379899999996</v>
      </c>
      <c r="Z170" s="6">
        <v>5761.4</v>
      </c>
      <c r="AA170" s="6">
        <v>1155.7020931999998</v>
      </c>
      <c r="AB170" s="6">
        <v>434.97730460999998</v>
      </c>
      <c r="AC170" s="6">
        <v>103.77349830999999</v>
      </c>
      <c r="AD170" s="6" t="s">
        <v>69</v>
      </c>
      <c r="AE170" s="6">
        <v>200.66934779999977</v>
      </c>
    </row>
    <row r="171" spans="1:31" ht="15.75" x14ac:dyDescent="0.25">
      <c r="A171" s="28">
        <v>39965</v>
      </c>
      <c r="B171" s="6">
        <v>6065.4552704999987</v>
      </c>
      <c r="C171" s="6">
        <v>209.43169090000004</v>
      </c>
      <c r="D171" s="6">
        <v>5060.0522534399997</v>
      </c>
      <c r="E171" s="6">
        <v>2690.0753241299999</v>
      </c>
      <c r="F171" s="6">
        <v>87.13381785</v>
      </c>
      <c r="G171" s="6">
        <v>1708.01718781</v>
      </c>
      <c r="H171" s="6">
        <v>322.62320170000004</v>
      </c>
      <c r="I171" s="6">
        <v>150.54987069000001</v>
      </c>
      <c r="J171" s="6">
        <v>47.408743350000002</v>
      </c>
      <c r="K171" s="6">
        <v>503</v>
      </c>
      <c r="L171" s="6">
        <v>100</v>
      </c>
      <c r="M171" s="6" t="s">
        <v>69</v>
      </c>
      <c r="N171" s="6">
        <v>1395.8069583800004</v>
      </c>
      <c r="O171" s="6">
        <v>496.69589361000004</v>
      </c>
      <c r="P171" s="6" t="s">
        <v>69</v>
      </c>
      <c r="Q171" s="6">
        <v>133.9443516</v>
      </c>
      <c r="R171" s="6">
        <v>95.131094629999978</v>
      </c>
      <c r="S171" s="6">
        <v>3125.6231159100003</v>
      </c>
      <c r="T171" s="6">
        <v>613.0832187000002</v>
      </c>
      <c r="U171" s="6">
        <v>13.865937010000001</v>
      </c>
      <c r="V171" s="6">
        <v>4.3203699999999996E-3</v>
      </c>
      <c r="W171" s="6">
        <v>0.43122022000000004</v>
      </c>
      <c r="X171" s="6">
        <v>113.14312886999998</v>
      </c>
      <c r="Y171" s="6">
        <v>10.29614913</v>
      </c>
      <c r="Z171" s="6">
        <v>5857.3</v>
      </c>
      <c r="AA171" s="6">
        <v>1184.5696372899999</v>
      </c>
      <c r="AB171" s="6">
        <v>438.69520915999999</v>
      </c>
      <c r="AC171" s="6">
        <v>108.09742752999998</v>
      </c>
      <c r="AD171" s="6" t="s">
        <v>69</v>
      </c>
      <c r="AE171" s="6">
        <v>-101.23811186999976</v>
      </c>
    </row>
    <row r="172" spans="1:31" ht="15.75" x14ac:dyDescent="0.25">
      <c r="A172" s="28">
        <v>39995</v>
      </c>
      <c r="B172" s="6">
        <v>4194.6690115000001</v>
      </c>
      <c r="C172" s="6">
        <v>229.72369926000002</v>
      </c>
      <c r="D172" s="6">
        <v>5283.2584726299992</v>
      </c>
      <c r="E172" s="6">
        <v>2862.5353714400003</v>
      </c>
      <c r="F172" s="6">
        <v>68.579948959999996</v>
      </c>
      <c r="G172" s="6">
        <v>1779.1761439799998</v>
      </c>
      <c r="H172" s="6">
        <v>332.7983638</v>
      </c>
      <c r="I172" s="6">
        <v>163.79980775000001</v>
      </c>
      <c r="J172" s="6">
        <v>49.319014319999994</v>
      </c>
      <c r="K172" s="6">
        <v>346</v>
      </c>
      <c r="L172" s="6">
        <v>300</v>
      </c>
      <c r="M172" s="6" t="s">
        <v>69</v>
      </c>
      <c r="N172" s="6">
        <v>1403.02632827</v>
      </c>
      <c r="O172" s="6">
        <v>275.42355257999998</v>
      </c>
      <c r="P172" s="6" t="s">
        <v>69</v>
      </c>
      <c r="Q172" s="6">
        <v>131.37884474999998</v>
      </c>
      <c r="R172" s="6">
        <v>111.55099749999999</v>
      </c>
      <c r="S172" s="6">
        <v>2664.5107218700005</v>
      </c>
      <c r="T172" s="6">
        <v>641.80724334000001</v>
      </c>
      <c r="U172" s="6">
        <v>15.423946679999997</v>
      </c>
      <c r="V172" s="6">
        <v>2.106912E-2</v>
      </c>
      <c r="W172" s="6">
        <v>0.37558139000000001</v>
      </c>
      <c r="X172" s="6">
        <v>118.96656965</v>
      </c>
      <c r="Y172" s="6">
        <v>11.146148620000004</v>
      </c>
      <c r="Z172" s="6">
        <v>7856.6</v>
      </c>
      <c r="AA172" s="6">
        <v>1660.0895311300005</v>
      </c>
      <c r="AB172" s="6">
        <v>599.4020671699999</v>
      </c>
      <c r="AC172" s="6">
        <v>110.23202878000001</v>
      </c>
      <c r="AD172" s="6" t="s">
        <v>69</v>
      </c>
      <c r="AE172" s="6">
        <v>256.18524721000023</v>
      </c>
    </row>
    <row r="173" spans="1:31" ht="15.75" x14ac:dyDescent="0.25">
      <c r="A173" s="28">
        <v>40026</v>
      </c>
      <c r="B173" s="6">
        <v>4470.3393869800002</v>
      </c>
      <c r="C173" s="6">
        <v>195.95033523999999</v>
      </c>
      <c r="D173" s="6">
        <v>5221.03492792</v>
      </c>
      <c r="E173" s="6">
        <v>2569.1139448999998</v>
      </c>
      <c r="F173" s="6">
        <v>69.713708179999998</v>
      </c>
      <c r="G173" s="6">
        <v>1692.1642019800001</v>
      </c>
      <c r="H173" s="6">
        <v>367.15263866000004</v>
      </c>
      <c r="I173" s="6">
        <v>206.64967339</v>
      </c>
      <c r="J173" s="6">
        <v>56.070712620000009</v>
      </c>
      <c r="K173" s="6">
        <v>273</v>
      </c>
      <c r="L173" s="6">
        <v>200</v>
      </c>
      <c r="M173" s="6" t="s">
        <v>69</v>
      </c>
      <c r="N173" s="6">
        <v>1362.9405950800001</v>
      </c>
      <c r="O173" s="6">
        <v>375.27188042</v>
      </c>
      <c r="P173" s="6" t="s">
        <v>69</v>
      </c>
      <c r="Q173" s="6">
        <v>129.13203701999998</v>
      </c>
      <c r="R173" s="6">
        <v>118.43425586000002</v>
      </c>
      <c r="S173" s="6">
        <v>2259.2194326899998</v>
      </c>
      <c r="T173" s="6">
        <v>587.94496148000007</v>
      </c>
      <c r="U173" s="6">
        <v>14.238574869999997</v>
      </c>
      <c r="V173" s="6">
        <v>1.3114209999999999E-2</v>
      </c>
      <c r="W173" s="6">
        <v>0.55130703000000003</v>
      </c>
      <c r="X173" s="6">
        <v>113.11224463000001</v>
      </c>
      <c r="Y173" s="6">
        <v>9.1934998300000004</v>
      </c>
      <c r="Z173" s="6">
        <v>6364.8</v>
      </c>
      <c r="AA173" s="6">
        <v>1227.1991715199999</v>
      </c>
      <c r="AB173" s="6">
        <v>457.72488365000004</v>
      </c>
      <c r="AC173" s="6">
        <v>108.16022383000002</v>
      </c>
      <c r="AD173" s="6" t="s">
        <v>69</v>
      </c>
      <c r="AE173" s="6">
        <v>32.545619469999522</v>
      </c>
    </row>
    <row r="174" spans="1:31" ht="15.75" x14ac:dyDescent="0.25">
      <c r="A174" s="28">
        <v>40057</v>
      </c>
      <c r="B174" s="6">
        <v>4036.6732719500001</v>
      </c>
      <c r="C174" s="6">
        <v>228.18464793000001</v>
      </c>
      <c r="D174" s="6">
        <v>5280.2139678800004</v>
      </c>
      <c r="E174" s="6">
        <v>2923.3217827999997</v>
      </c>
      <c r="F174" s="6">
        <v>70.083817530000005</v>
      </c>
      <c r="G174" s="6">
        <v>1802.4862921699998</v>
      </c>
      <c r="H174" s="6">
        <v>369.25333383999998</v>
      </c>
      <c r="I174" s="6">
        <v>211.08891253999997</v>
      </c>
      <c r="J174" s="6">
        <v>56.376150149999994</v>
      </c>
      <c r="K174" s="6">
        <v>281</v>
      </c>
      <c r="L174" s="6">
        <v>404</v>
      </c>
      <c r="M174" s="6" t="s">
        <v>69</v>
      </c>
      <c r="N174" s="6">
        <v>1626.7177903899999</v>
      </c>
      <c r="O174" s="6">
        <v>181.46524659000002</v>
      </c>
      <c r="P174" s="6" t="s">
        <v>69</v>
      </c>
      <c r="Q174" s="6">
        <v>133.75861028999995</v>
      </c>
      <c r="R174" s="6">
        <v>182.07096589999998</v>
      </c>
      <c r="S174" s="6">
        <v>2380.6989526299999</v>
      </c>
      <c r="T174" s="6">
        <v>757.03630440000006</v>
      </c>
      <c r="U174" s="6">
        <v>17.689318480000001</v>
      </c>
      <c r="V174" s="6">
        <v>4.43919E-3</v>
      </c>
      <c r="W174" s="6">
        <v>0.39921879000000005</v>
      </c>
      <c r="X174" s="6">
        <v>130.10140412999999</v>
      </c>
      <c r="Y174" s="6">
        <v>10.90067283</v>
      </c>
      <c r="Z174" s="6">
        <v>6520</v>
      </c>
      <c r="AA174" s="6">
        <v>1264.72167567</v>
      </c>
      <c r="AB174" s="6">
        <v>455.48519139000001</v>
      </c>
      <c r="AC174" s="6">
        <v>113.54510587000001</v>
      </c>
      <c r="AD174" s="6" t="s">
        <v>69</v>
      </c>
      <c r="AE174" s="6">
        <v>755.96196771000029</v>
      </c>
    </row>
    <row r="175" spans="1:31" ht="15.75" x14ac:dyDescent="0.25">
      <c r="A175" s="28">
        <v>40087</v>
      </c>
      <c r="B175" s="6">
        <v>4683.5319165000001</v>
      </c>
      <c r="C175" s="6">
        <v>218.58963175999997</v>
      </c>
      <c r="D175" s="6">
        <v>5255.1940634100001</v>
      </c>
      <c r="E175" s="6">
        <v>2778.3840113000001</v>
      </c>
      <c r="F175" s="6">
        <v>79.994970690000002</v>
      </c>
      <c r="G175" s="6">
        <v>1769.4582807699999</v>
      </c>
      <c r="H175" s="6">
        <v>356.30947782999988</v>
      </c>
      <c r="I175" s="6">
        <v>199.98890771000003</v>
      </c>
      <c r="J175" s="6">
        <v>56.882575159999988</v>
      </c>
      <c r="K175" s="6">
        <v>350</v>
      </c>
      <c r="L175" s="6">
        <v>340</v>
      </c>
      <c r="M175" s="6" t="s">
        <v>69</v>
      </c>
      <c r="N175" s="6">
        <v>1688.1708026399995</v>
      </c>
      <c r="O175" s="6">
        <v>424.41108986000006</v>
      </c>
      <c r="P175" s="6" t="s">
        <v>69</v>
      </c>
      <c r="Q175" s="6">
        <v>136.78756229999999</v>
      </c>
      <c r="R175" s="6">
        <v>578.74570312999981</v>
      </c>
      <c r="S175" s="6">
        <v>2963.5952552799999</v>
      </c>
      <c r="T175" s="6">
        <v>727.90518827000005</v>
      </c>
      <c r="U175" s="6">
        <v>16.934376489999998</v>
      </c>
      <c r="V175" s="6">
        <v>6.3972299999999994E-3</v>
      </c>
      <c r="W175" s="6">
        <v>0.50536285000000014</v>
      </c>
      <c r="X175" s="6">
        <v>133.81768979999998</v>
      </c>
      <c r="Y175" s="6">
        <v>8.1094033500000009</v>
      </c>
      <c r="Z175" s="6">
        <v>6553.7</v>
      </c>
      <c r="AA175" s="6">
        <v>1261.48558082</v>
      </c>
      <c r="AB175" s="6">
        <v>461.57948629999987</v>
      </c>
      <c r="AC175" s="6">
        <v>112.16552700000001</v>
      </c>
      <c r="AD175" s="6" t="s">
        <v>69</v>
      </c>
      <c r="AE175" s="6">
        <v>-755.10595079000018</v>
      </c>
    </row>
    <row r="176" spans="1:31" ht="15.75" x14ac:dyDescent="0.25">
      <c r="A176" s="28">
        <v>40118</v>
      </c>
      <c r="B176" s="6">
        <v>4754.7</v>
      </c>
      <c r="C176" s="6">
        <v>227</v>
      </c>
      <c r="D176" s="6">
        <v>5024.3999999999996</v>
      </c>
      <c r="E176" s="6">
        <v>2762.7</v>
      </c>
      <c r="F176" s="6">
        <v>83.6</v>
      </c>
      <c r="G176" s="6">
        <v>1745.4</v>
      </c>
      <c r="H176" s="6">
        <v>418.98584625000001</v>
      </c>
      <c r="I176" s="6">
        <v>230.92084288999999</v>
      </c>
      <c r="J176" s="6">
        <v>63.571234649999994</v>
      </c>
      <c r="K176" s="6">
        <v>363</v>
      </c>
      <c r="L176" s="6">
        <v>250</v>
      </c>
      <c r="M176" s="6" t="s">
        <v>69</v>
      </c>
      <c r="N176" s="6">
        <v>1873.3286022999998</v>
      </c>
      <c r="O176" s="6">
        <v>121.9</v>
      </c>
      <c r="P176" s="6" t="s">
        <v>69</v>
      </c>
      <c r="Q176" s="6">
        <v>135.09570067000001</v>
      </c>
      <c r="R176" s="6">
        <v>108.37915538999998</v>
      </c>
      <c r="S176" s="6">
        <v>2666</v>
      </c>
      <c r="T176" s="6">
        <v>697.63833051000006</v>
      </c>
      <c r="U176" s="6">
        <v>17.361134480000004</v>
      </c>
      <c r="V176" s="6">
        <v>1.1702700000000002E-3</v>
      </c>
      <c r="W176" s="6">
        <v>0.4412184500000001</v>
      </c>
      <c r="X176" s="6">
        <v>129.36016157</v>
      </c>
      <c r="Y176" s="6">
        <v>10.713862949999999</v>
      </c>
      <c r="Z176" s="6">
        <v>6278.2</v>
      </c>
      <c r="AA176" s="6">
        <v>1272.8765241800002</v>
      </c>
      <c r="AB176" s="6">
        <v>474.98623542000001</v>
      </c>
      <c r="AC176" s="6">
        <v>112.80488806999999</v>
      </c>
      <c r="AD176" s="6" t="s">
        <v>69</v>
      </c>
      <c r="AE176" s="6">
        <v>292.16650898999995</v>
      </c>
    </row>
    <row r="177" spans="1:31" ht="15.75" x14ac:dyDescent="0.25">
      <c r="A177" s="28">
        <v>40148</v>
      </c>
      <c r="B177" s="6">
        <v>5119.1000000000004</v>
      </c>
      <c r="C177" s="6">
        <v>208.2</v>
      </c>
      <c r="D177" s="6">
        <v>5613.7</v>
      </c>
      <c r="E177" s="6">
        <v>2724.3</v>
      </c>
      <c r="F177" s="6">
        <v>75</v>
      </c>
      <c r="G177" s="6">
        <v>2034</v>
      </c>
      <c r="H177" s="6">
        <v>401.97322182999989</v>
      </c>
      <c r="I177" s="6">
        <v>327.89837624999996</v>
      </c>
      <c r="J177" s="6">
        <v>61.105065329999995</v>
      </c>
      <c r="K177" s="6">
        <v>360</v>
      </c>
      <c r="L177" s="6">
        <v>530</v>
      </c>
      <c r="M177" s="6" t="s">
        <v>69</v>
      </c>
      <c r="N177" s="6">
        <v>2645.5939031000003</v>
      </c>
      <c r="O177" s="6">
        <v>400.1</v>
      </c>
      <c r="P177" s="6" t="s">
        <v>69</v>
      </c>
      <c r="Q177" s="6">
        <v>141.00722457000001</v>
      </c>
      <c r="R177" s="6">
        <v>245.22611090999999</v>
      </c>
      <c r="S177" s="6">
        <v>3165</v>
      </c>
      <c r="T177" s="6">
        <v>714.66857950999997</v>
      </c>
      <c r="U177" s="6">
        <v>16.77425882</v>
      </c>
      <c r="V177" s="6">
        <v>7.3025400000000015E-3</v>
      </c>
      <c r="W177" s="6">
        <v>0.54037251000000008</v>
      </c>
      <c r="X177" s="6">
        <v>127.94954548</v>
      </c>
      <c r="Y177" s="6">
        <v>9.4123083199999993</v>
      </c>
      <c r="Z177" s="6">
        <v>6669.9</v>
      </c>
      <c r="AA177" s="6">
        <v>1291.5664687600008</v>
      </c>
      <c r="AB177" s="6">
        <v>480.07819203000008</v>
      </c>
      <c r="AC177" s="6">
        <v>115.62198436000001</v>
      </c>
      <c r="AD177" s="6" t="s">
        <v>69</v>
      </c>
      <c r="AE177" s="6">
        <v>-238.09705514999999</v>
      </c>
    </row>
    <row r="178" spans="1:31" ht="15.75" x14ac:dyDescent="0.25">
      <c r="A178" s="28">
        <v>40179</v>
      </c>
      <c r="B178" s="6">
        <v>4772.6737933500008</v>
      </c>
      <c r="C178" s="6">
        <v>194.69177249000001</v>
      </c>
      <c r="D178" s="6">
        <v>6131.9676213299999</v>
      </c>
      <c r="E178" s="6">
        <v>2540.3538558600003</v>
      </c>
      <c r="F178" s="6">
        <v>164.15315163000002</v>
      </c>
      <c r="G178" s="6">
        <v>1944.8847822799999</v>
      </c>
      <c r="H178" s="6">
        <v>419.98800299000004</v>
      </c>
      <c r="I178" s="6">
        <v>323.28720051999994</v>
      </c>
      <c r="J178" s="6">
        <v>65.812035910000006</v>
      </c>
      <c r="K178" s="6">
        <v>417</v>
      </c>
      <c r="L178" s="6">
        <v>227</v>
      </c>
      <c r="M178" s="6" t="s">
        <v>69</v>
      </c>
      <c r="N178" s="6">
        <v>932.63650718999997</v>
      </c>
      <c r="O178" s="6">
        <v>96.557465070000006</v>
      </c>
      <c r="P178" s="6" t="s">
        <v>69</v>
      </c>
      <c r="Q178" s="6">
        <v>134.03604826</v>
      </c>
      <c r="R178" s="6">
        <v>114.55025991999999</v>
      </c>
      <c r="S178" s="6">
        <v>2316.5174476299999</v>
      </c>
      <c r="T178" s="6">
        <v>685.41568727000026</v>
      </c>
      <c r="U178" s="6">
        <v>16.280035880000003</v>
      </c>
      <c r="V178" s="6">
        <v>5.0074299999999993E-3</v>
      </c>
      <c r="W178" s="6">
        <v>0.38047928000000003</v>
      </c>
      <c r="X178" s="6">
        <v>120.36970164</v>
      </c>
      <c r="Y178" s="6">
        <v>7.6253043000000007</v>
      </c>
      <c r="Z178" s="6">
        <v>9023.9</v>
      </c>
      <c r="AA178" s="6">
        <v>1847.5429349200001</v>
      </c>
      <c r="AB178" s="6">
        <v>729.0439439700001</v>
      </c>
      <c r="AC178" s="6">
        <v>195.19872931000003</v>
      </c>
      <c r="AD178" s="6" t="s">
        <v>69</v>
      </c>
      <c r="AE178" s="6">
        <v>-174.3674909199998</v>
      </c>
    </row>
    <row r="179" spans="1:31" ht="15.75" x14ac:dyDescent="0.25">
      <c r="A179" s="28">
        <v>40210</v>
      </c>
      <c r="B179" s="6">
        <v>4492.6247399100002</v>
      </c>
      <c r="C179" s="6">
        <v>195.85079342</v>
      </c>
      <c r="D179" s="6">
        <v>5886.1232250499997</v>
      </c>
      <c r="E179" s="6">
        <v>2553.4433874000006</v>
      </c>
      <c r="F179" s="6">
        <v>186.69732097999997</v>
      </c>
      <c r="G179" s="6">
        <v>1802.05366989</v>
      </c>
      <c r="H179" s="6">
        <v>432.66229995000003</v>
      </c>
      <c r="I179" s="6">
        <v>342.29401711000003</v>
      </c>
      <c r="J179" s="6">
        <v>66.701518919999998</v>
      </c>
      <c r="K179" s="6">
        <v>200</v>
      </c>
      <c r="L179" s="6">
        <v>200</v>
      </c>
      <c r="M179" s="6" t="s">
        <v>69</v>
      </c>
      <c r="N179" s="6">
        <v>1947.1058757599999</v>
      </c>
      <c r="O179" s="6">
        <v>359.58798568000003</v>
      </c>
      <c r="P179" s="6" t="s">
        <v>69</v>
      </c>
      <c r="Q179" s="6">
        <v>149.52811130000001</v>
      </c>
      <c r="R179" s="6">
        <v>81.452629869999996</v>
      </c>
      <c r="S179" s="6">
        <v>2718.3580267000002</v>
      </c>
      <c r="T179" s="6">
        <v>653.2192978700001</v>
      </c>
      <c r="U179" s="6">
        <v>15.161540740000003</v>
      </c>
      <c r="V179" s="6">
        <v>1.0693470000000002E-2</v>
      </c>
      <c r="W179" s="6">
        <v>0.40499293999999997</v>
      </c>
      <c r="X179" s="6">
        <v>123.12176061</v>
      </c>
      <c r="Y179" s="6">
        <v>7.9016664299999997</v>
      </c>
      <c r="Z179" s="6">
        <v>6922.3</v>
      </c>
      <c r="AA179" s="6">
        <v>1428.3283474799996</v>
      </c>
      <c r="AB179" s="6">
        <v>581.28153311999995</v>
      </c>
      <c r="AC179" s="6">
        <v>207.51628184000003</v>
      </c>
      <c r="AD179" s="6" t="s">
        <v>69</v>
      </c>
      <c r="AE179" s="6">
        <v>-265.46465782000058</v>
      </c>
    </row>
    <row r="180" spans="1:31" ht="15.75" x14ac:dyDescent="0.25">
      <c r="A180" s="28">
        <v>40238</v>
      </c>
      <c r="B180" s="6">
        <v>4061.6771320299999</v>
      </c>
      <c r="C180" s="6">
        <v>247.18078638999998</v>
      </c>
      <c r="D180" s="6">
        <v>5524.6920071900004</v>
      </c>
      <c r="E180" s="6">
        <v>3274.5689628999999</v>
      </c>
      <c r="F180" s="6">
        <v>205.99755762999996</v>
      </c>
      <c r="G180" s="6">
        <v>1819.6739125399999</v>
      </c>
      <c r="H180" s="6">
        <v>392.69400277000005</v>
      </c>
      <c r="I180" s="6">
        <v>357.29050825000002</v>
      </c>
      <c r="J180" s="6">
        <v>57.869656070000005</v>
      </c>
      <c r="K180" s="6">
        <v>225</v>
      </c>
      <c r="L180" s="6">
        <v>277</v>
      </c>
      <c r="M180" s="6" t="s">
        <v>69</v>
      </c>
      <c r="N180" s="6">
        <v>1785.07269612</v>
      </c>
      <c r="O180" s="6">
        <v>110.46913660999999</v>
      </c>
      <c r="P180" s="6" t="s">
        <v>69</v>
      </c>
      <c r="Q180" s="6">
        <v>158.86306514</v>
      </c>
      <c r="R180" s="6">
        <v>95.056376750000013</v>
      </c>
      <c r="S180" s="6">
        <v>3271.9775567800002</v>
      </c>
      <c r="T180" s="6">
        <v>830.92851117999987</v>
      </c>
      <c r="U180" s="6">
        <v>18.783393869999998</v>
      </c>
      <c r="V180" s="6">
        <v>1.9454640000000002E-2</v>
      </c>
      <c r="W180" s="6">
        <v>0.33706171000000001</v>
      </c>
      <c r="X180" s="6">
        <v>154.83442945000002</v>
      </c>
      <c r="Y180" s="6">
        <v>13.189442750000001</v>
      </c>
      <c r="Z180" s="6">
        <v>6997.4</v>
      </c>
      <c r="AA180" s="6">
        <v>1435.08062468</v>
      </c>
      <c r="AB180" s="6">
        <v>626.77118493000012</v>
      </c>
      <c r="AC180" s="6">
        <v>220.63746291000001</v>
      </c>
      <c r="AD180" s="6" t="s">
        <v>69</v>
      </c>
      <c r="AE180" s="6">
        <v>343.21014091000023</v>
      </c>
    </row>
    <row r="181" spans="1:31" ht="15.75" x14ac:dyDescent="0.25">
      <c r="A181" s="28">
        <v>40269</v>
      </c>
      <c r="B181" s="6">
        <v>4009.6542961199998</v>
      </c>
      <c r="C181" s="6">
        <v>230.66076647000003</v>
      </c>
      <c r="D181" s="6">
        <v>6072.9869860200006</v>
      </c>
      <c r="E181" s="6">
        <v>3029.4847115299999</v>
      </c>
      <c r="F181" s="6">
        <v>163.64833183000002</v>
      </c>
      <c r="G181" s="6">
        <v>2074.5296737999997</v>
      </c>
      <c r="H181" s="6">
        <v>397.36322108000007</v>
      </c>
      <c r="I181" s="6">
        <v>390.64745244</v>
      </c>
      <c r="J181" s="6">
        <v>61.985511130000013</v>
      </c>
      <c r="K181" s="6">
        <v>267</v>
      </c>
      <c r="L181" s="6">
        <v>237</v>
      </c>
      <c r="M181" s="6" t="s">
        <v>69</v>
      </c>
      <c r="N181" s="6">
        <v>1891.8765299999998</v>
      </c>
      <c r="O181" s="6">
        <v>244.87161115000004</v>
      </c>
      <c r="P181" s="6" t="s">
        <v>69</v>
      </c>
      <c r="Q181" s="6">
        <v>158.72501484000003</v>
      </c>
      <c r="R181" s="6">
        <v>98.039270079999994</v>
      </c>
      <c r="S181" s="6">
        <v>3918.6170566200003</v>
      </c>
      <c r="T181" s="6">
        <v>798.05057901999999</v>
      </c>
      <c r="U181" s="6">
        <v>17.726084460000003</v>
      </c>
      <c r="V181" s="6">
        <v>1.1884199999999999E-3</v>
      </c>
      <c r="W181" s="6">
        <v>0.99907614999999994</v>
      </c>
      <c r="X181" s="6">
        <v>147.06128649999999</v>
      </c>
      <c r="Y181" s="6">
        <v>15.406881529999998</v>
      </c>
      <c r="Z181" s="6">
        <v>7355.1</v>
      </c>
      <c r="AA181" s="6">
        <v>1467.4743122899997</v>
      </c>
      <c r="AB181" s="6">
        <v>637.97255455000004</v>
      </c>
      <c r="AC181" s="6">
        <v>215.50666805999992</v>
      </c>
      <c r="AD181" s="6" t="s">
        <v>69</v>
      </c>
      <c r="AE181" s="6">
        <v>288.81899020999947</v>
      </c>
    </row>
    <row r="182" spans="1:31" ht="15.75" x14ac:dyDescent="0.25">
      <c r="A182" s="28">
        <v>40299</v>
      </c>
      <c r="B182" s="6">
        <v>11211.95496406</v>
      </c>
      <c r="C182" s="6">
        <v>262.89000976</v>
      </c>
      <c r="D182" s="6">
        <v>5761.5146496899997</v>
      </c>
      <c r="E182" s="6">
        <v>3511.7215885300002</v>
      </c>
      <c r="F182" s="6">
        <v>134.48413789</v>
      </c>
      <c r="G182" s="6">
        <v>2236.3483673199999</v>
      </c>
      <c r="H182" s="6">
        <v>406.51440840999999</v>
      </c>
      <c r="I182" s="6">
        <v>374.95799575999996</v>
      </c>
      <c r="J182" s="6">
        <v>66.1185914</v>
      </c>
      <c r="K182" s="6">
        <v>320</v>
      </c>
      <c r="L182" s="6">
        <v>270</v>
      </c>
      <c r="M182" s="6" t="s">
        <v>69</v>
      </c>
      <c r="N182" s="6">
        <v>2236.4902955499997</v>
      </c>
      <c r="O182" s="6">
        <v>1560.6296604500001</v>
      </c>
      <c r="P182" s="6" t="s">
        <v>69</v>
      </c>
      <c r="Q182" s="6">
        <v>155.06364472000001</v>
      </c>
      <c r="R182" s="6">
        <v>104.96678494000001</v>
      </c>
      <c r="S182" s="6">
        <v>4272.7620388900004</v>
      </c>
      <c r="T182" s="6">
        <v>774.96970366000005</v>
      </c>
      <c r="U182" s="6">
        <v>17.626867320000002</v>
      </c>
      <c r="V182" s="6">
        <v>9.6784200000000001E-3</v>
      </c>
      <c r="W182" s="6">
        <v>0.8681679499999998</v>
      </c>
      <c r="X182" s="6">
        <v>160.62573247000003</v>
      </c>
      <c r="Y182" s="6">
        <v>11.078261489999997</v>
      </c>
      <c r="Z182" s="6">
        <v>7590.5</v>
      </c>
      <c r="AA182" s="6">
        <v>1440.5095202699999</v>
      </c>
      <c r="AB182" s="6">
        <v>640.58948159999989</v>
      </c>
      <c r="AC182" s="6">
        <v>212.16193397000001</v>
      </c>
      <c r="AD182" s="6" t="s">
        <v>69</v>
      </c>
      <c r="AE182" s="6">
        <v>83.716320029999906</v>
      </c>
    </row>
    <row r="183" spans="1:31" ht="15.75" x14ac:dyDescent="0.25">
      <c r="A183" s="28">
        <v>40330</v>
      </c>
      <c r="B183" s="6">
        <v>8878.5773655399989</v>
      </c>
      <c r="C183" s="6">
        <v>291.40420463999999</v>
      </c>
      <c r="D183" s="6">
        <v>6212.5353620999995</v>
      </c>
      <c r="E183" s="6">
        <v>3940.4799902100003</v>
      </c>
      <c r="F183" s="6">
        <v>103.61488044000001</v>
      </c>
      <c r="G183" s="6">
        <v>2189.29256768</v>
      </c>
      <c r="H183" s="6">
        <v>408.95389572000005</v>
      </c>
      <c r="I183" s="6">
        <v>388.92557932000005</v>
      </c>
      <c r="J183" s="6">
        <v>59.131519819999994</v>
      </c>
      <c r="K183" s="6">
        <v>215</v>
      </c>
      <c r="L183" s="6">
        <v>200</v>
      </c>
      <c r="M183" s="6" t="s">
        <v>69</v>
      </c>
      <c r="N183" s="6">
        <v>1919.5802701</v>
      </c>
      <c r="O183" s="6">
        <v>636.09377788999996</v>
      </c>
      <c r="P183" s="6" t="s">
        <v>69</v>
      </c>
      <c r="Q183" s="6">
        <v>178.64466211000001</v>
      </c>
      <c r="R183" s="6">
        <v>111.93853691999999</v>
      </c>
      <c r="S183" s="6">
        <v>4225.2756534099999</v>
      </c>
      <c r="T183" s="6">
        <v>925.89034172000004</v>
      </c>
      <c r="U183" s="6">
        <v>20.253033779999999</v>
      </c>
      <c r="V183" s="6">
        <v>-3.08428E-3</v>
      </c>
      <c r="W183" s="6">
        <v>0.66065781000000012</v>
      </c>
      <c r="X183" s="6">
        <v>170.30395577999997</v>
      </c>
      <c r="Y183" s="6">
        <v>13.904238379999999</v>
      </c>
      <c r="Z183" s="6">
        <v>7740.9</v>
      </c>
      <c r="AA183" s="6">
        <v>1476.6998621100001</v>
      </c>
      <c r="AB183" s="6">
        <v>677.97857907999992</v>
      </c>
      <c r="AC183" s="6">
        <v>223.11978366999998</v>
      </c>
      <c r="AD183" s="6" t="s">
        <v>69</v>
      </c>
      <c r="AE183" s="6">
        <v>187.30681059000003</v>
      </c>
    </row>
    <row r="184" spans="1:31" ht="15.75" x14ac:dyDescent="0.25">
      <c r="A184" s="28">
        <v>40360</v>
      </c>
      <c r="B184" s="6">
        <v>5897.9952389400005</v>
      </c>
      <c r="C184" s="6">
        <v>354.24759088000002</v>
      </c>
      <c r="D184" s="6">
        <v>6393.2964902599997</v>
      </c>
      <c r="E184" s="6">
        <v>4087.4711490500003</v>
      </c>
      <c r="F184" s="6">
        <v>115.95410765</v>
      </c>
      <c r="G184" s="6">
        <v>2436.3146848000001</v>
      </c>
      <c r="H184" s="6">
        <v>387.88172520000006</v>
      </c>
      <c r="I184" s="6">
        <v>360.47017642999998</v>
      </c>
      <c r="J184" s="6">
        <v>60.22689007000001</v>
      </c>
      <c r="K184" s="6">
        <v>325</v>
      </c>
      <c r="L184" s="6">
        <v>300</v>
      </c>
      <c r="M184" s="6" t="s">
        <v>69</v>
      </c>
      <c r="N184" s="6">
        <v>1730.4902806299999</v>
      </c>
      <c r="O184" s="6">
        <v>334.81801724000002</v>
      </c>
      <c r="P184" s="6" t="s">
        <v>69</v>
      </c>
      <c r="Q184" s="6">
        <v>181.37595837999993</v>
      </c>
      <c r="R184" s="6">
        <v>117.23492046000001</v>
      </c>
      <c r="S184" s="6">
        <v>4481.1012849700001</v>
      </c>
      <c r="T184" s="6">
        <v>1042.74472698</v>
      </c>
      <c r="U184" s="6">
        <v>22.271898710000009</v>
      </c>
      <c r="V184" s="6">
        <v>3.9461579999999989E-2</v>
      </c>
      <c r="W184" s="6">
        <v>0.57146487999999984</v>
      </c>
      <c r="X184" s="6">
        <v>191.35826163000002</v>
      </c>
      <c r="Y184" s="6">
        <v>12.881271099999999</v>
      </c>
      <c r="Z184" s="6">
        <v>10430.5</v>
      </c>
      <c r="AA184" s="6">
        <v>2167.9954942499999</v>
      </c>
      <c r="AB184" s="6">
        <v>935.89986047000025</v>
      </c>
      <c r="AC184" s="6">
        <v>229.32854527999999</v>
      </c>
      <c r="AD184" s="6">
        <v>0.42036342000000004</v>
      </c>
      <c r="AE184" s="6">
        <v>26.401480359999656</v>
      </c>
    </row>
    <row r="185" spans="1:31" ht="15.75" x14ac:dyDescent="0.25">
      <c r="A185" s="28">
        <v>40391</v>
      </c>
      <c r="B185" s="6">
        <v>5662.1942452000003</v>
      </c>
      <c r="C185" s="6">
        <v>363.58280542</v>
      </c>
      <c r="D185" s="6">
        <v>6581.87863853</v>
      </c>
      <c r="E185" s="6">
        <v>4005.9033704200001</v>
      </c>
      <c r="F185" s="6">
        <v>122.33164762000001</v>
      </c>
      <c r="G185" s="6">
        <v>2222.06607196</v>
      </c>
      <c r="H185" s="6">
        <v>434.26111731000003</v>
      </c>
      <c r="I185" s="6">
        <v>333.44572950000003</v>
      </c>
      <c r="J185" s="6">
        <v>68.324408410000004</v>
      </c>
      <c r="K185" s="6">
        <v>276</v>
      </c>
      <c r="L185" s="6">
        <v>200</v>
      </c>
      <c r="M185" s="6" t="s">
        <v>69</v>
      </c>
      <c r="N185" s="6">
        <v>1981.7593532399999</v>
      </c>
      <c r="O185" s="6">
        <v>531.16059143000007</v>
      </c>
      <c r="P185" s="6" t="s">
        <v>69</v>
      </c>
      <c r="Q185" s="6">
        <v>183.46167459</v>
      </c>
      <c r="R185" s="6">
        <v>120.89844699999999</v>
      </c>
      <c r="S185" s="6">
        <v>3795.7484293400003</v>
      </c>
      <c r="T185" s="6">
        <v>1026.2086871400002</v>
      </c>
      <c r="U185" s="6">
        <v>23.650460580000008</v>
      </c>
      <c r="V185" s="6">
        <v>1.9359999999999998E-5</v>
      </c>
      <c r="W185" s="6">
        <v>0.39197709000000008</v>
      </c>
      <c r="X185" s="6">
        <v>196.61948611000003</v>
      </c>
      <c r="Y185" s="6">
        <v>15.92046081</v>
      </c>
      <c r="Z185" s="6">
        <v>8193</v>
      </c>
      <c r="AA185" s="6">
        <v>1608.0761008900004</v>
      </c>
      <c r="AB185" s="6">
        <v>739.75703134000003</v>
      </c>
      <c r="AC185" s="6">
        <v>229.07042622999995</v>
      </c>
      <c r="AD185" s="6">
        <v>0.25337275999999997</v>
      </c>
      <c r="AE185" s="6">
        <v>112.39002048999953</v>
      </c>
    </row>
    <row r="186" spans="1:31" ht="15.75" x14ac:dyDescent="0.25">
      <c r="A186" s="28">
        <v>40422</v>
      </c>
      <c r="B186" s="6">
        <v>5364.9025634000009</v>
      </c>
      <c r="C186" s="6">
        <v>378.66443524000005</v>
      </c>
      <c r="D186" s="6">
        <v>6911.2172568000005</v>
      </c>
      <c r="E186" s="6">
        <v>4111.8344569599994</v>
      </c>
      <c r="F186" s="6">
        <v>113.78176715000001</v>
      </c>
      <c r="G186" s="6">
        <v>2511.7068224600002</v>
      </c>
      <c r="H186" s="6">
        <v>413.76482983000005</v>
      </c>
      <c r="I186" s="6">
        <v>365.37984832000001</v>
      </c>
      <c r="J186" s="6">
        <v>63.715818530000007</v>
      </c>
      <c r="K186" s="6">
        <v>300</v>
      </c>
      <c r="L186" s="6">
        <v>209</v>
      </c>
      <c r="M186" s="6" t="s">
        <v>69</v>
      </c>
      <c r="N186" s="6">
        <v>2158.9532709599989</v>
      </c>
      <c r="O186" s="6">
        <v>165.48680378999998</v>
      </c>
      <c r="P186" s="6" t="s">
        <v>69</v>
      </c>
      <c r="Q186" s="6">
        <v>185.51316205000003</v>
      </c>
      <c r="R186" s="6">
        <v>125.35604954</v>
      </c>
      <c r="S186" s="6">
        <v>4579.7099083499998</v>
      </c>
      <c r="T186" s="6">
        <v>1116.8524882199999</v>
      </c>
      <c r="U186" s="6">
        <v>23.834216909999995</v>
      </c>
      <c r="V186" s="6">
        <v>1.4836199999999999E-3</v>
      </c>
      <c r="W186" s="6">
        <v>0.75800853000000012</v>
      </c>
      <c r="X186" s="6">
        <v>204.89177022000004</v>
      </c>
      <c r="Y186" s="6">
        <v>18.56715947</v>
      </c>
      <c r="Z186" s="6">
        <v>8480.7000000000007</v>
      </c>
      <c r="AA186" s="6">
        <v>1619.7532493500003</v>
      </c>
      <c r="AB186" s="6">
        <v>744.51652327000022</v>
      </c>
      <c r="AC186" s="6">
        <v>231.83437666999995</v>
      </c>
      <c r="AD186" s="6">
        <v>0.14597578</v>
      </c>
      <c r="AE186" s="6">
        <v>-112.19852379000012</v>
      </c>
    </row>
    <row r="187" spans="1:31" ht="15.75" x14ac:dyDescent="0.25">
      <c r="A187" s="28">
        <v>40452</v>
      </c>
      <c r="B187" s="6">
        <v>5797.3943621299995</v>
      </c>
      <c r="C187" s="6">
        <v>367.65254083999997</v>
      </c>
      <c r="D187" s="6">
        <v>6756.7694073999992</v>
      </c>
      <c r="E187" s="6">
        <v>3766.37352809</v>
      </c>
      <c r="F187" s="6">
        <v>115.55347863999998</v>
      </c>
      <c r="G187" s="6">
        <v>2457.7691094199999</v>
      </c>
      <c r="H187" s="6">
        <v>437.56777092999999</v>
      </c>
      <c r="I187" s="6">
        <v>364.52952032999997</v>
      </c>
      <c r="J187" s="6">
        <v>69.962759870000014</v>
      </c>
      <c r="K187" s="6">
        <v>400</v>
      </c>
      <c r="L187" s="6">
        <v>400</v>
      </c>
      <c r="M187" s="6" t="s">
        <v>69</v>
      </c>
      <c r="N187" s="6">
        <v>2213.5235781400002</v>
      </c>
      <c r="O187" s="6">
        <v>486.22324404999995</v>
      </c>
      <c r="P187" s="6" t="s">
        <v>69</v>
      </c>
      <c r="Q187" s="6">
        <v>196.45783168999995</v>
      </c>
      <c r="R187" s="6">
        <v>119.01324462999997</v>
      </c>
      <c r="S187" s="6">
        <v>4918.7681713100001</v>
      </c>
      <c r="T187" s="6">
        <v>1002.8781459100001</v>
      </c>
      <c r="U187" s="6">
        <v>22.228372530000001</v>
      </c>
      <c r="V187" s="6">
        <v>-1.1025342199999999</v>
      </c>
      <c r="W187" s="6">
        <v>0.47467531999999996</v>
      </c>
      <c r="X187" s="6">
        <v>199.37984238000001</v>
      </c>
      <c r="Y187" s="6">
        <v>11.565953440000001</v>
      </c>
      <c r="Z187" s="6">
        <v>8567.7999999999993</v>
      </c>
      <c r="AA187" s="6">
        <v>1647.9678673399994</v>
      </c>
      <c r="AB187" s="6">
        <v>745.49580716999981</v>
      </c>
      <c r="AC187" s="6">
        <v>228.66279637999997</v>
      </c>
      <c r="AD187" s="6">
        <v>0.16041859</v>
      </c>
      <c r="AE187" s="6">
        <v>-35.366053860000093</v>
      </c>
    </row>
    <row r="188" spans="1:31" ht="15.75" x14ac:dyDescent="0.25">
      <c r="A188" s="28">
        <v>40483</v>
      </c>
      <c r="B188" s="6">
        <v>5975.6551278900006</v>
      </c>
      <c r="C188" s="6">
        <v>417.43258028999998</v>
      </c>
      <c r="D188" s="6">
        <v>6571.7340598000001</v>
      </c>
      <c r="E188" s="6">
        <v>4412.8860610299998</v>
      </c>
      <c r="F188" s="6">
        <v>112.65932846</v>
      </c>
      <c r="G188" s="6">
        <v>2303.7225844699997</v>
      </c>
      <c r="H188" s="6">
        <v>503.53999059</v>
      </c>
      <c r="I188" s="6">
        <v>405.16584133000003</v>
      </c>
      <c r="J188" s="6">
        <v>77.261718040000005</v>
      </c>
      <c r="K188" s="6">
        <v>350</v>
      </c>
      <c r="L188" s="6">
        <v>150</v>
      </c>
      <c r="M188" s="6" t="s">
        <v>69</v>
      </c>
      <c r="N188" s="6">
        <v>2230.1677370000002</v>
      </c>
      <c r="O188" s="6">
        <v>136.82450481000001</v>
      </c>
      <c r="P188" s="6" t="s">
        <v>69</v>
      </c>
      <c r="Q188" s="6">
        <v>204.32803406999997</v>
      </c>
      <c r="R188" s="6">
        <v>141.65039891000001</v>
      </c>
      <c r="S188" s="6">
        <v>4030.0094215599993</v>
      </c>
      <c r="T188" s="6">
        <v>1213.8857550900002</v>
      </c>
      <c r="U188" s="6">
        <v>25.818013119999996</v>
      </c>
      <c r="V188" s="6">
        <v>-1.9741400000000003E-2</v>
      </c>
      <c r="W188" s="6">
        <v>0.74776580999999998</v>
      </c>
      <c r="X188" s="6">
        <v>219.30289349000003</v>
      </c>
      <c r="Y188" s="6">
        <v>14.74043773</v>
      </c>
      <c r="Z188" s="6">
        <v>8984.6</v>
      </c>
      <c r="AA188" s="6">
        <v>1717.6722672599997</v>
      </c>
      <c r="AB188" s="6">
        <v>784.3564684700001</v>
      </c>
      <c r="AC188" s="6">
        <v>242.02104220000004</v>
      </c>
      <c r="AD188" s="6">
        <v>0.70730152999999996</v>
      </c>
      <c r="AE188" s="6">
        <v>-84.759683689999918</v>
      </c>
    </row>
    <row r="189" spans="1:31" ht="15.75" x14ac:dyDescent="0.25">
      <c r="A189" s="28">
        <v>40513</v>
      </c>
      <c r="B189" s="6">
        <v>6849.37678237</v>
      </c>
      <c r="C189" s="6">
        <v>372.68678481000001</v>
      </c>
      <c r="D189" s="6">
        <v>7906.3565345799998</v>
      </c>
      <c r="E189" s="6">
        <v>4105.3938614799999</v>
      </c>
      <c r="F189" s="6">
        <v>108.94755459999999</v>
      </c>
      <c r="G189" s="6">
        <v>2886.3709040399999</v>
      </c>
      <c r="H189" s="6">
        <v>446.2313291100001</v>
      </c>
      <c r="I189" s="6">
        <v>414.18467387999999</v>
      </c>
      <c r="J189" s="6">
        <v>68.889706830000009</v>
      </c>
      <c r="K189" s="6">
        <v>370</v>
      </c>
      <c r="L189" s="6">
        <v>386</v>
      </c>
      <c r="M189" s="6" t="s">
        <v>69</v>
      </c>
      <c r="N189" s="6">
        <v>3150.2863835499998</v>
      </c>
      <c r="O189" s="6">
        <v>484.06892533000007</v>
      </c>
      <c r="P189" s="6" t="s">
        <v>69</v>
      </c>
      <c r="Q189" s="6">
        <v>206.55549327999998</v>
      </c>
      <c r="R189" s="6">
        <v>138.78852438999996</v>
      </c>
      <c r="S189" s="6">
        <v>3018.5074554700004</v>
      </c>
      <c r="T189" s="6">
        <v>1111.58288533</v>
      </c>
      <c r="U189" s="6">
        <v>22.051998089999998</v>
      </c>
      <c r="V189" s="6">
        <v>9.4461000000000002E-4</v>
      </c>
      <c r="W189" s="6">
        <v>0.81339768000000001</v>
      </c>
      <c r="X189" s="6">
        <v>201.04752377999995</v>
      </c>
      <c r="Y189" s="6">
        <v>20.12939957</v>
      </c>
      <c r="Z189" s="6">
        <v>8989.2999999999993</v>
      </c>
      <c r="AA189" s="6">
        <v>1752.8839181400001</v>
      </c>
      <c r="AB189" s="6">
        <v>813.40291436999996</v>
      </c>
      <c r="AC189" s="6">
        <v>234.87443942000004</v>
      </c>
      <c r="AD189" s="6">
        <v>0.70057738999999997</v>
      </c>
      <c r="AE189" s="6">
        <v>-79.073341480000238</v>
      </c>
    </row>
    <row r="190" spans="1:31" ht="15.75" x14ac:dyDescent="0.25">
      <c r="A190" s="28">
        <v>40544</v>
      </c>
      <c r="B190" s="6">
        <v>6712.7820288600005</v>
      </c>
      <c r="C190" s="6">
        <v>398.01801136999995</v>
      </c>
      <c r="D190" s="6">
        <v>8150.19995612</v>
      </c>
      <c r="E190" s="6">
        <v>4187.0605868500006</v>
      </c>
      <c r="F190" s="6">
        <v>91.924661</v>
      </c>
      <c r="G190" s="6">
        <v>2661.8409737599995</v>
      </c>
      <c r="H190" s="6">
        <v>568.33832960000007</v>
      </c>
      <c r="I190" s="6">
        <v>440.17649435000004</v>
      </c>
      <c r="J190" s="6">
        <v>89.406843539999983</v>
      </c>
      <c r="K190" s="6">
        <v>500</v>
      </c>
      <c r="L190" s="6">
        <v>400</v>
      </c>
      <c r="M190" s="6" t="s">
        <v>69</v>
      </c>
      <c r="N190" s="6">
        <v>1204.86943462</v>
      </c>
      <c r="O190" s="6">
        <v>107.18912213</v>
      </c>
      <c r="P190" s="6" t="s">
        <v>69</v>
      </c>
      <c r="Q190" s="6">
        <v>209.78001879000007</v>
      </c>
      <c r="R190" s="6">
        <v>140.50520036</v>
      </c>
      <c r="S190" s="6">
        <v>3605.3064521300003</v>
      </c>
      <c r="T190" s="6">
        <v>1086.77997888</v>
      </c>
      <c r="U190" s="6">
        <v>23.256840540000002</v>
      </c>
      <c r="V190" s="6">
        <v>1.399595E-2</v>
      </c>
      <c r="W190" s="6">
        <v>0.75380859999999994</v>
      </c>
      <c r="X190" s="6">
        <v>205.35854806</v>
      </c>
      <c r="Y190" s="6">
        <v>15.8950703</v>
      </c>
      <c r="Z190" s="6">
        <v>12163.9</v>
      </c>
      <c r="AA190" s="6">
        <v>2539.2295401499996</v>
      </c>
      <c r="AB190" s="6">
        <v>1133.9680804100001</v>
      </c>
      <c r="AC190" s="6">
        <v>254.02984653999999</v>
      </c>
      <c r="AD190" s="6">
        <v>0.42192785000000005</v>
      </c>
      <c r="AE190" s="6">
        <v>47.185513340000107</v>
      </c>
    </row>
    <row r="191" spans="1:31" ht="15.75" x14ac:dyDescent="0.25">
      <c r="A191" s="28">
        <v>40575</v>
      </c>
      <c r="B191" s="6">
        <v>6494.6937542200003</v>
      </c>
      <c r="C191" s="6">
        <v>373.01423356999999</v>
      </c>
      <c r="D191" s="6">
        <v>7277.7764972399991</v>
      </c>
      <c r="E191" s="6">
        <v>3763.8220183499998</v>
      </c>
      <c r="F191" s="6">
        <v>119.15871597000002</v>
      </c>
      <c r="G191" s="6">
        <v>2619.4235969700003</v>
      </c>
      <c r="H191" s="6">
        <v>501.92381594</v>
      </c>
      <c r="I191" s="6">
        <v>406.27713900999998</v>
      </c>
      <c r="J191" s="6">
        <v>79.262024629999999</v>
      </c>
      <c r="K191" s="6">
        <v>353</v>
      </c>
      <c r="L191" s="6">
        <v>126</v>
      </c>
      <c r="M191" s="6" t="s">
        <v>69</v>
      </c>
      <c r="N191" s="6">
        <v>2291.6285424999996</v>
      </c>
      <c r="O191" s="6">
        <v>439.22127976000002</v>
      </c>
      <c r="P191" s="6" t="s">
        <v>69</v>
      </c>
      <c r="Q191" s="6">
        <v>209.04939679999998</v>
      </c>
      <c r="R191" s="6">
        <v>114.13256087000001</v>
      </c>
      <c r="S191" s="6">
        <v>3022.7251975700001</v>
      </c>
      <c r="T191" s="6">
        <v>942.87468354000021</v>
      </c>
      <c r="U191" s="6">
        <v>19.993990260000004</v>
      </c>
      <c r="V191" s="6">
        <v>2.5409999999999999E-5</v>
      </c>
      <c r="W191" s="6">
        <v>1.0101904900000001</v>
      </c>
      <c r="X191" s="6">
        <v>190.74766218000002</v>
      </c>
      <c r="Y191" s="6">
        <v>13.756005399999998</v>
      </c>
      <c r="Z191" s="6">
        <v>9657.2999999999993</v>
      </c>
      <c r="AA191" s="6">
        <v>1953.8790067700004</v>
      </c>
      <c r="AB191" s="6">
        <v>902.05583764000016</v>
      </c>
      <c r="AC191" s="6">
        <v>234.47432629999997</v>
      </c>
      <c r="AD191" s="6">
        <v>10.097231629999996</v>
      </c>
      <c r="AE191" s="6">
        <v>-274.97150703000057</v>
      </c>
    </row>
    <row r="192" spans="1:31" ht="15.75" x14ac:dyDescent="0.25">
      <c r="A192" s="28">
        <v>40603</v>
      </c>
      <c r="B192" s="6">
        <v>5529.7102195899997</v>
      </c>
      <c r="C192" s="6">
        <v>441.08037802000001</v>
      </c>
      <c r="D192" s="6">
        <v>7188.7021854699997</v>
      </c>
      <c r="E192" s="6">
        <v>4749.5044832099993</v>
      </c>
      <c r="F192" s="6">
        <v>106.89822374000001</v>
      </c>
      <c r="G192" s="6">
        <v>2437.2518835999999</v>
      </c>
      <c r="H192" s="6">
        <v>522.58732354999995</v>
      </c>
      <c r="I192" s="6">
        <v>369.81227927999998</v>
      </c>
      <c r="J192" s="6">
        <v>80.237540050000007</v>
      </c>
      <c r="K192" s="6">
        <v>200</v>
      </c>
      <c r="L192" s="6">
        <v>350</v>
      </c>
      <c r="M192" s="6" t="s">
        <v>69</v>
      </c>
      <c r="N192" s="6">
        <v>1938.5790169600002</v>
      </c>
      <c r="O192" s="6">
        <v>102.65649231</v>
      </c>
      <c r="P192" s="6" t="s">
        <v>69</v>
      </c>
      <c r="Q192" s="6">
        <v>244.70685709</v>
      </c>
      <c r="R192" s="6">
        <v>131.27072258000001</v>
      </c>
      <c r="S192" s="6">
        <v>3915.3203736099999</v>
      </c>
      <c r="T192" s="6">
        <v>1137.11602156</v>
      </c>
      <c r="U192" s="6">
        <v>23.943948490000004</v>
      </c>
      <c r="V192" s="6">
        <v>1.9334300000000001E-3</v>
      </c>
      <c r="W192" s="6">
        <v>0.92979374000000004</v>
      </c>
      <c r="X192" s="6">
        <v>214.64817308999997</v>
      </c>
      <c r="Y192" s="6">
        <v>14.007520509999999</v>
      </c>
      <c r="Z192" s="6">
        <v>9374.6</v>
      </c>
      <c r="AA192" s="6">
        <v>1877.3371969499999</v>
      </c>
      <c r="AB192" s="6">
        <v>846.99015061000011</v>
      </c>
      <c r="AC192" s="6">
        <v>249.50916362999999</v>
      </c>
      <c r="AD192" s="6">
        <v>11.53823401</v>
      </c>
      <c r="AE192" s="6">
        <v>330.2182696299999</v>
      </c>
    </row>
    <row r="193" spans="1:31" ht="15.75" x14ac:dyDescent="0.25">
      <c r="A193" s="28">
        <v>40634</v>
      </c>
      <c r="B193" s="6">
        <v>6270.4067322600004</v>
      </c>
      <c r="C193" s="6">
        <v>424.80677874999998</v>
      </c>
      <c r="D193" s="6">
        <v>7366.9140293700002</v>
      </c>
      <c r="E193" s="6">
        <v>4491.17820106</v>
      </c>
      <c r="F193" s="6">
        <v>104.72595513000002</v>
      </c>
      <c r="G193" s="6">
        <v>2687.5390845399997</v>
      </c>
      <c r="H193" s="6">
        <v>552.5752215</v>
      </c>
      <c r="I193" s="6">
        <v>365.07304726999996</v>
      </c>
      <c r="J193" s="6">
        <v>88.113834220000001</v>
      </c>
      <c r="K193" s="6">
        <v>280</v>
      </c>
      <c r="L193" s="6">
        <v>500</v>
      </c>
      <c r="M193" s="6" t="s">
        <v>69</v>
      </c>
      <c r="N193" s="6">
        <v>2162.0523001399988</v>
      </c>
      <c r="O193" s="6">
        <v>259.42324172000002</v>
      </c>
      <c r="P193" s="6" t="s">
        <v>69</v>
      </c>
      <c r="Q193" s="6">
        <v>229.78724950999998</v>
      </c>
      <c r="R193" s="6">
        <v>133.88310194000002</v>
      </c>
      <c r="S193" s="6">
        <v>4573.77057633</v>
      </c>
      <c r="T193" s="6">
        <v>1065.5147091499998</v>
      </c>
      <c r="U193" s="6">
        <v>22.883980509999997</v>
      </c>
      <c r="V193" s="6">
        <v>3.0079290000000002E-2</v>
      </c>
      <c r="W193" s="6">
        <v>0.46101973999999996</v>
      </c>
      <c r="X193" s="6">
        <v>205.79326533999998</v>
      </c>
      <c r="Y193" s="6">
        <v>17.501337080000003</v>
      </c>
      <c r="Z193" s="6">
        <v>10246.200000000001</v>
      </c>
      <c r="AA193" s="6">
        <v>2020.0966765999999</v>
      </c>
      <c r="AB193" s="6">
        <v>901.11766502</v>
      </c>
      <c r="AC193" s="6">
        <v>232.91534236000001</v>
      </c>
      <c r="AD193" s="6">
        <v>11.971828979999996</v>
      </c>
      <c r="AE193" s="6">
        <v>72.67226595000021</v>
      </c>
    </row>
    <row r="194" spans="1:31" ht="15.75" x14ac:dyDescent="0.25">
      <c r="A194" s="28">
        <v>40664</v>
      </c>
      <c r="B194" s="6">
        <v>13519.5</v>
      </c>
      <c r="C194" s="6">
        <v>520.9</v>
      </c>
      <c r="D194" s="6">
        <v>8512.1</v>
      </c>
      <c r="E194" s="6">
        <v>4850.2</v>
      </c>
      <c r="F194" s="6">
        <v>93.8</v>
      </c>
      <c r="G194" s="6">
        <v>2951.4</v>
      </c>
      <c r="H194" s="6">
        <v>505.39315361000001</v>
      </c>
      <c r="I194" s="6">
        <v>362.11392064</v>
      </c>
      <c r="J194" s="6">
        <v>75.307404970000007</v>
      </c>
      <c r="K194" s="6">
        <v>320</v>
      </c>
      <c r="L194" s="6">
        <v>250</v>
      </c>
      <c r="M194" s="6" t="s">
        <v>69</v>
      </c>
      <c r="N194" s="6">
        <v>2558.8662931999988</v>
      </c>
      <c r="O194" s="6">
        <v>1742.8</v>
      </c>
      <c r="P194" s="6" t="s">
        <v>69</v>
      </c>
      <c r="Q194" s="6">
        <v>242.92632287000001</v>
      </c>
      <c r="R194" s="6">
        <v>140.36140101000001</v>
      </c>
      <c r="S194" s="6">
        <v>4667.3999999999996</v>
      </c>
      <c r="T194" s="6">
        <v>1121.7368065199998</v>
      </c>
      <c r="U194" s="6">
        <v>24.269601609999999</v>
      </c>
      <c r="V194" s="6">
        <v>1.1622450000000003E-2</v>
      </c>
      <c r="W194" s="6">
        <v>0.48846425999999998</v>
      </c>
      <c r="X194" s="6">
        <v>228.52454654000002</v>
      </c>
      <c r="Y194" s="6">
        <v>17.292605700000003</v>
      </c>
      <c r="Z194" s="6">
        <v>10285.6</v>
      </c>
      <c r="AA194" s="6">
        <v>2015.0264628299997</v>
      </c>
      <c r="AB194" s="6">
        <v>950.42779958999995</v>
      </c>
      <c r="AC194" s="6">
        <v>277.72877384999993</v>
      </c>
      <c r="AD194" s="6">
        <v>11.261940389999996</v>
      </c>
      <c r="AE194" s="6">
        <v>39.350281110000026</v>
      </c>
    </row>
    <row r="195" spans="1:31" ht="15.75" x14ac:dyDescent="0.25">
      <c r="A195" s="28">
        <v>40695</v>
      </c>
      <c r="B195" s="6">
        <v>12851.8</v>
      </c>
      <c r="C195" s="6">
        <v>506.5</v>
      </c>
      <c r="D195" s="6">
        <v>7685.9</v>
      </c>
      <c r="E195" s="6">
        <v>4864.8</v>
      </c>
      <c r="F195" s="6">
        <v>104.2</v>
      </c>
      <c r="G195" s="6">
        <v>3175.8</v>
      </c>
      <c r="H195" s="6">
        <v>453.48610871999995</v>
      </c>
      <c r="I195" s="6">
        <v>322.02011386999999</v>
      </c>
      <c r="J195" s="6">
        <v>74.494733400000015</v>
      </c>
      <c r="K195" s="6">
        <v>279</v>
      </c>
      <c r="L195" s="6">
        <v>731</v>
      </c>
      <c r="M195" s="6" t="s">
        <v>69</v>
      </c>
      <c r="N195" s="6">
        <v>2200.3959547499999</v>
      </c>
      <c r="O195" s="6">
        <v>728.6</v>
      </c>
      <c r="P195" s="6" t="s">
        <v>69</v>
      </c>
      <c r="Q195" s="6">
        <v>251.99081951000002</v>
      </c>
      <c r="R195" s="6">
        <v>157.99091292999995</v>
      </c>
      <c r="S195" s="6">
        <v>5141.3999999999996</v>
      </c>
      <c r="T195" s="6">
        <v>1156.5065389000001</v>
      </c>
      <c r="U195" s="6">
        <v>24.355695449999999</v>
      </c>
      <c r="V195" s="6">
        <v>5.1268000000000006E-4</v>
      </c>
      <c r="W195" s="6">
        <v>0.65947</v>
      </c>
      <c r="X195" s="6">
        <v>233.54247727999996</v>
      </c>
      <c r="Y195" s="6">
        <v>19.987188599999996</v>
      </c>
      <c r="Z195" s="6">
        <v>10564.7</v>
      </c>
      <c r="AA195" s="6">
        <v>2052.0839561899998</v>
      </c>
      <c r="AB195" s="6">
        <v>975.66000908999979</v>
      </c>
      <c r="AC195" s="6">
        <v>252.34348080999999</v>
      </c>
      <c r="AD195" s="6">
        <v>12.89453546</v>
      </c>
      <c r="AE195" s="6">
        <v>269.78094501000027</v>
      </c>
    </row>
    <row r="196" spans="1:31" ht="15.75" x14ac:dyDescent="0.25">
      <c r="A196" s="28">
        <v>40725</v>
      </c>
      <c r="B196" s="6">
        <v>8161.1</v>
      </c>
      <c r="C196" s="6">
        <v>511.6</v>
      </c>
      <c r="D196" s="6">
        <v>9041.7000000000007</v>
      </c>
      <c r="E196" s="6">
        <v>4497.5</v>
      </c>
      <c r="F196" s="6">
        <v>119.5</v>
      </c>
      <c r="G196" s="6">
        <v>3292.8</v>
      </c>
      <c r="H196" s="6">
        <v>480.96579724999998</v>
      </c>
      <c r="I196" s="6">
        <v>345.81512514000002</v>
      </c>
      <c r="J196" s="6">
        <v>107.14141653000004</v>
      </c>
      <c r="K196" s="6">
        <v>325</v>
      </c>
      <c r="L196" s="6">
        <v>300</v>
      </c>
      <c r="M196" s="6" t="s">
        <v>69</v>
      </c>
      <c r="N196" s="6">
        <v>1916.87933288</v>
      </c>
      <c r="O196" s="6">
        <v>373.7</v>
      </c>
      <c r="P196" s="6" t="s">
        <v>69</v>
      </c>
      <c r="Q196" s="6">
        <v>254.60993481</v>
      </c>
      <c r="R196" s="6">
        <v>159.94883446999998</v>
      </c>
      <c r="S196" s="6">
        <v>4480.2</v>
      </c>
      <c r="T196" s="6">
        <v>1117.6503228399997</v>
      </c>
      <c r="U196" s="6">
        <v>24.982592710000009</v>
      </c>
      <c r="V196" s="6">
        <v>0.10155262999999999</v>
      </c>
      <c r="W196" s="6">
        <v>0.41548834000000018</v>
      </c>
      <c r="X196" s="6">
        <v>241.47932999999998</v>
      </c>
      <c r="Y196" s="6">
        <v>22.032157820000002</v>
      </c>
      <c r="Z196" s="6">
        <v>14129.8</v>
      </c>
      <c r="AA196" s="6">
        <v>3030.3428690200008</v>
      </c>
      <c r="AB196" s="6">
        <v>1323.7492941100008</v>
      </c>
      <c r="AC196" s="6">
        <v>277.46013228000004</v>
      </c>
      <c r="AD196" s="6">
        <v>12.046013709999999</v>
      </c>
      <c r="AE196" s="6">
        <v>46.944580709999904</v>
      </c>
    </row>
    <row r="197" spans="1:31" ht="15.75" x14ac:dyDescent="0.25">
      <c r="A197" s="28">
        <v>40756</v>
      </c>
      <c r="B197" s="6">
        <v>8586.2149941400003</v>
      </c>
      <c r="C197" s="6">
        <v>512.33338832000004</v>
      </c>
      <c r="D197" s="6">
        <v>8140.26064047</v>
      </c>
      <c r="E197" s="6">
        <v>5729.05387049</v>
      </c>
      <c r="F197" s="6">
        <v>121.73977316</v>
      </c>
      <c r="G197" s="6">
        <v>2915.4919748100001</v>
      </c>
      <c r="H197" s="6">
        <v>514.52048003999994</v>
      </c>
      <c r="I197" s="6">
        <v>370.52301664000004</v>
      </c>
      <c r="J197" s="6">
        <v>84.910756540000008</v>
      </c>
      <c r="K197" s="6">
        <v>304</v>
      </c>
      <c r="L197" s="6">
        <v>668</v>
      </c>
      <c r="M197" s="6" t="s">
        <v>69</v>
      </c>
      <c r="N197" s="6">
        <v>2438.44024137</v>
      </c>
      <c r="O197" s="6">
        <v>629.30329834999998</v>
      </c>
      <c r="P197" s="6" t="s">
        <v>69</v>
      </c>
      <c r="Q197" s="6">
        <v>257.38929861999998</v>
      </c>
      <c r="R197" s="6">
        <v>167.6870601</v>
      </c>
      <c r="S197" s="6">
        <v>5609.3105238800008</v>
      </c>
      <c r="T197" s="6">
        <v>1246.9070643799998</v>
      </c>
      <c r="U197" s="6">
        <v>27.276648519999995</v>
      </c>
      <c r="V197" s="6">
        <v>-9.9405669999999988E-2</v>
      </c>
      <c r="W197" s="6">
        <v>0.88976592999999993</v>
      </c>
      <c r="X197" s="6">
        <v>291.21504283000007</v>
      </c>
      <c r="Y197" s="6">
        <v>22.20892563</v>
      </c>
      <c r="Z197" s="6">
        <v>11092</v>
      </c>
      <c r="AA197" s="6">
        <v>2283.6410435399998</v>
      </c>
      <c r="AB197" s="6">
        <v>1047.05320136</v>
      </c>
      <c r="AC197" s="6">
        <v>268.45491236000009</v>
      </c>
      <c r="AD197" s="6">
        <v>13.778262179999999</v>
      </c>
      <c r="AE197" s="6">
        <v>209.89349055000014</v>
      </c>
    </row>
    <row r="198" spans="1:31" ht="15.75" x14ac:dyDescent="0.25">
      <c r="A198" s="28">
        <v>40787</v>
      </c>
      <c r="B198" s="6">
        <v>8169.5666437499995</v>
      </c>
      <c r="C198" s="6">
        <v>492.89889947</v>
      </c>
      <c r="D198" s="6">
        <v>9612.2342200099993</v>
      </c>
      <c r="E198" s="6">
        <v>5010.2980219499996</v>
      </c>
      <c r="F198" s="6">
        <v>121.19720008</v>
      </c>
      <c r="G198" s="6">
        <v>3542.3835177999999</v>
      </c>
      <c r="H198" s="6">
        <v>511.03258829999999</v>
      </c>
      <c r="I198" s="6">
        <v>418.18271998000006</v>
      </c>
      <c r="J198" s="6">
        <v>78.406229799999991</v>
      </c>
      <c r="K198" s="6">
        <v>300</v>
      </c>
      <c r="L198" s="6">
        <v>355</v>
      </c>
      <c r="M198" s="6" t="s">
        <v>69</v>
      </c>
      <c r="N198" s="6">
        <v>2364.5132873200005</v>
      </c>
      <c r="O198" s="6">
        <v>179.97137426999998</v>
      </c>
      <c r="P198" s="6" t="s">
        <v>69</v>
      </c>
      <c r="Q198" s="6">
        <v>255.92912552999996</v>
      </c>
      <c r="R198" s="6">
        <v>161.37893632000001</v>
      </c>
      <c r="S198" s="6">
        <v>5599.5879337599999</v>
      </c>
      <c r="T198" s="6">
        <v>1365.2637309699996</v>
      </c>
      <c r="U198" s="6">
        <v>29.316829450000004</v>
      </c>
      <c r="V198" s="6">
        <v>1.9359999999999998E-5</v>
      </c>
      <c r="W198" s="6">
        <v>0.53496586999999995</v>
      </c>
      <c r="X198" s="6">
        <v>275.03853118999996</v>
      </c>
      <c r="Y198" s="6">
        <v>20.967577969999997</v>
      </c>
      <c r="Z198" s="6">
        <v>11410.4</v>
      </c>
      <c r="AA198" s="6">
        <v>2248.34901881</v>
      </c>
      <c r="AB198" s="6">
        <v>1049.6050866200001</v>
      </c>
      <c r="AC198" s="6">
        <v>266.34809383999999</v>
      </c>
      <c r="AD198" s="6">
        <v>13.44647279</v>
      </c>
      <c r="AE198" s="6">
        <v>-14.829329530000242</v>
      </c>
    </row>
    <row r="199" spans="1:31" ht="15.75" x14ac:dyDescent="0.25">
      <c r="A199" s="28">
        <v>40817</v>
      </c>
      <c r="B199" s="6">
        <v>8487.5820255500003</v>
      </c>
      <c r="C199" s="6">
        <v>435.14888342999996</v>
      </c>
      <c r="D199" s="6">
        <v>8632.9645125099996</v>
      </c>
      <c r="E199" s="6">
        <v>5005.54136363</v>
      </c>
      <c r="F199" s="6">
        <v>134.29176075999999</v>
      </c>
      <c r="G199" s="6">
        <v>3145.4578063300005</v>
      </c>
      <c r="H199" s="6">
        <v>530.30978039000001</v>
      </c>
      <c r="I199" s="6">
        <v>414.98878945000001</v>
      </c>
      <c r="J199" s="6">
        <v>85.616872789999988</v>
      </c>
      <c r="K199" s="6">
        <v>582</v>
      </c>
      <c r="L199" s="6">
        <v>350</v>
      </c>
      <c r="M199" s="6" t="s">
        <v>69</v>
      </c>
      <c r="N199" s="6">
        <v>2613.1723129999987</v>
      </c>
      <c r="O199" s="6">
        <v>583.61851514999989</v>
      </c>
      <c r="P199" s="6" t="s">
        <v>69</v>
      </c>
      <c r="Q199" s="6">
        <v>274.36564119000008</v>
      </c>
      <c r="R199" s="6">
        <v>171.95996078000002</v>
      </c>
      <c r="S199" s="6">
        <v>5828.33053612</v>
      </c>
      <c r="T199" s="6">
        <v>1351.0510305700002</v>
      </c>
      <c r="U199" s="6">
        <v>28.318235199999997</v>
      </c>
      <c r="V199" s="6">
        <v>-0.49741829000000004</v>
      </c>
      <c r="W199" s="6">
        <v>0.66910934999999994</v>
      </c>
      <c r="X199" s="6">
        <v>267.47199625999997</v>
      </c>
      <c r="Y199" s="6">
        <v>24.244266360000001</v>
      </c>
      <c r="Z199" s="6">
        <v>11586.7</v>
      </c>
      <c r="AA199" s="6">
        <v>2295.4923362599998</v>
      </c>
      <c r="AB199" s="6">
        <v>1053.9687078899997</v>
      </c>
      <c r="AC199" s="6">
        <v>264.56415169999991</v>
      </c>
      <c r="AD199" s="6">
        <v>13.705655030000001</v>
      </c>
      <c r="AE199" s="6">
        <v>-55.866066829999724</v>
      </c>
    </row>
    <row r="200" spans="1:31" ht="15.75" x14ac:dyDescent="0.25">
      <c r="A200" s="28">
        <v>40848</v>
      </c>
      <c r="B200" s="6">
        <v>8767.6</v>
      </c>
      <c r="C200" s="6">
        <v>427.3</v>
      </c>
      <c r="D200" s="6">
        <v>9813.4</v>
      </c>
      <c r="E200" s="6">
        <v>5290.6</v>
      </c>
      <c r="F200" s="6">
        <v>110.8</v>
      </c>
      <c r="G200" s="6">
        <v>3351</v>
      </c>
      <c r="H200" s="6">
        <v>524.91476734000003</v>
      </c>
      <c r="I200" s="6">
        <v>419.95333041000004</v>
      </c>
      <c r="J200" s="6">
        <v>87.027727609999999</v>
      </c>
      <c r="K200" s="6">
        <v>16</v>
      </c>
      <c r="L200" s="6">
        <v>10</v>
      </c>
      <c r="M200" s="6" t="s">
        <v>69</v>
      </c>
      <c r="N200" s="6">
        <v>2466.2851760099998</v>
      </c>
      <c r="O200" s="6">
        <v>163.69999999999999</v>
      </c>
      <c r="P200" s="6" t="s">
        <v>69</v>
      </c>
      <c r="Q200" s="6">
        <v>274.77643058999996</v>
      </c>
      <c r="R200" s="6">
        <v>190.53654750999999</v>
      </c>
      <c r="S200" s="6">
        <v>3714.1</v>
      </c>
      <c r="T200" s="6">
        <v>1441.3657416599999</v>
      </c>
      <c r="U200" s="6">
        <v>28.591876880000001</v>
      </c>
      <c r="V200" s="6">
        <v>2.7324100000000007E-3</v>
      </c>
      <c r="W200" s="6">
        <v>1.0314804999999998</v>
      </c>
      <c r="X200" s="6">
        <v>276.21513728000002</v>
      </c>
      <c r="Y200" s="6">
        <v>27.61686851</v>
      </c>
      <c r="Z200" s="6">
        <v>11541.2</v>
      </c>
      <c r="AA200" s="6">
        <v>2317.3932394499998</v>
      </c>
      <c r="AB200" s="6">
        <v>1056.18799182</v>
      </c>
      <c r="AC200" s="6">
        <v>257.18792879</v>
      </c>
      <c r="AD200" s="6">
        <v>14.570102200000003</v>
      </c>
      <c r="AE200" s="6">
        <v>-500.67362976000044</v>
      </c>
    </row>
    <row r="201" spans="1:31" ht="15.75" x14ac:dyDescent="0.25">
      <c r="A201" s="28">
        <v>40878</v>
      </c>
      <c r="B201" s="6">
        <v>9589.0044194700004</v>
      </c>
      <c r="C201" s="6">
        <v>414.31987525</v>
      </c>
      <c r="D201" s="6">
        <v>8980.1537805299995</v>
      </c>
      <c r="E201" s="6">
        <v>5224.02591106</v>
      </c>
      <c r="F201" s="6">
        <v>128.70628988999999</v>
      </c>
      <c r="G201" s="6">
        <v>3399.1125981499999</v>
      </c>
      <c r="H201" s="6">
        <v>616.6192226600001</v>
      </c>
      <c r="I201" s="6">
        <v>438.69360259000001</v>
      </c>
      <c r="J201" s="6">
        <v>96.341753669999989</v>
      </c>
      <c r="K201" s="6">
        <v>370</v>
      </c>
      <c r="L201" s="6">
        <v>650</v>
      </c>
      <c r="M201" s="6" t="s">
        <v>69</v>
      </c>
      <c r="N201" s="6">
        <v>4044.8880920500001</v>
      </c>
      <c r="O201" s="6">
        <v>581.79525427999999</v>
      </c>
      <c r="P201" s="6" t="s">
        <v>69</v>
      </c>
      <c r="Q201" s="6">
        <v>277.72569502999994</v>
      </c>
      <c r="R201" s="6">
        <v>180.01236092000005</v>
      </c>
      <c r="S201" s="6">
        <v>4005.8799660000004</v>
      </c>
      <c r="T201" s="6">
        <v>1339.80659165</v>
      </c>
      <c r="U201" s="6">
        <v>27.746332979999998</v>
      </c>
      <c r="V201" s="6">
        <v>9.4414100000000025E-3</v>
      </c>
      <c r="W201" s="6">
        <v>0.46012990999999998</v>
      </c>
      <c r="X201" s="6">
        <v>256.82230893999997</v>
      </c>
      <c r="Y201" s="6">
        <v>23.243226230000001</v>
      </c>
      <c r="Z201" s="6">
        <v>11759.1</v>
      </c>
      <c r="AA201" s="6">
        <v>2374.7852838599997</v>
      </c>
      <c r="AB201" s="6">
        <v>1096.73331968</v>
      </c>
      <c r="AC201" s="6">
        <v>262.35365425000003</v>
      </c>
      <c r="AD201" s="6">
        <v>14.690030309999996</v>
      </c>
      <c r="AE201" s="6">
        <v>539.92067822999957</v>
      </c>
    </row>
    <row r="202" spans="1:31" ht="15.75" x14ac:dyDescent="0.25">
      <c r="A202" s="28">
        <v>40909</v>
      </c>
      <c r="B202" s="6">
        <v>9080.7125501199989</v>
      </c>
      <c r="C202" s="6">
        <v>421.07593336000002</v>
      </c>
      <c r="D202" s="6">
        <v>11086.42369263</v>
      </c>
      <c r="E202" s="6">
        <v>4396.7938103300003</v>
      </c>
      <c r="F202" s="6">
        <v>89.03808137</v>
      </c>
      <c r="G202" s="6">
        <v>3253.4636694000001</v>
      </c>
      <c r="H202">
        <v>641.88928359999989</v>
      </c>
      <c r="I202" s="6">
        <v>434.87012626000001</v>
      </c>
      <c r="J202" s="6">
        <v>104.25020994999998</v>
      </c>
      <c r="K202" s="6">
        <v>350</v>
      </c>
      <c r="L202" s="6">
        <v>350</v>
      </c>
      <c r="M202" s="6" t="s">
        <v>69</v>
      </c>
      <c r="N202" s="6">
        <v>1545.5149387500003</v>
      </c>
      <c r="O202" s="6">
        <v>119.53694231</v>
      </c>
      <c r="P202" s="6" t="s">
        <v>69</v>
      </c>
      <c r="Q202" s="6">
        <v>273.34144426000006</v>
      </c>
      <c r="R202" s="6">
        <v>181.57818922000001</v>
      </c>
      <c r="S202" s="6">
        <v>4622.1805502000007</v>
      </c>
      <c r="T202" s="6">
        <v>1215.8057371699999</v>
      </c>
      <c r="U202" s="6">
        <v>25.84176467</v>
      </c>
      <c r="V202" s="6">
        <v>1.9359999999999998E-5</v>
      </c>
      <c r="W202" s="6">
        <v>0.93070344000000005</v>
      </c>
      <c r="X202" s="6">
        <v>232.29665932</v>
      </c>
      <c r="Y202" s="6">
        <v>31.132796029999998</v>
      </c>
      <c r="Z202" s="6">
        <v>16123</v>
      </c>
      <c r="AA202" s="6">
        <v>3511.4081118899999</v>
      </c>
      <c r="AB202" s="6">
        <v>1559.38548197</v>
      </c>
      <c r="AC202" s="6">
        <v>267.45567385999999</v>
      </c>
      <c r="AD202" s="6">
        <v>14.897329820000003</v>
      </c>
      <c r="AE202" s="6">
        <v>126.96857663999982</v>
      </c>
    </row>
    <row r="203" spans="1:31" ht="15.75" x14ac:dyDescent="0.25">
      <c r="A203" s="28">
        <v>40940</v>
      </c>
      <c r="B203" s="6">
        <v>8479.0745129200004</v>
      </c>
      <c r="C203" s="6">
        <v>368.59673962999995</v>
      </c>
      <c r="D203" s="6">
        <v>10000.82248653</v>
      </c>
      <c r="E203" s="6">
        <v>3880.3117070200001</v>
      </c>
      <c r="F203" s="6">
        <v>103.96388286</v>
      </c>
      <c r="G203" s="6">
        <v>3209.7716632000001</v>
      </c>
      <c r="H203">
        <v>610.91054757999984</v>
      </c>
      <c r="I203" s="6">
        <v>373.65393141000004</v>
      </c>
      <c r="J203" s="6">
        <v>95.98731337000001</v>
      </c>
      <c r="K203" s="6">
        <v>150</v>
      </c>
      <c r="L203" s="6">
        <v>150</v>
      </c>
      <c r="M203" s="6" t="s">
        <v>69</v>
      </c>
      <c r="N203" s="6">
        <v>3071.8523602300002</v>
      </c>
      <c r="O203" s="6">
        <v>502.22988059999994</v>
      </c>
      <c r="P203" s="6" t="s">
        <v>69</v>
      </c>
      <c r="Q203" s="6">
        <v>279.92756938999997</v>
      </c>
      <c r="R203" s="6">
        <v>138.88528845999997</v>
      </c>
      <c r="S203" s="6">
        <v>4164.4089499499996</v>
      </c>
      <c r="T203" s="6">
        <v>1041.18954854</v>
      </c>
      <c r="U203" s="6">
        <v>21.892282249999997</v>
      </c>
      <c r="V203" s="6">
        <v>1.9349999999999999E-5</v>
      </c>
      <c r="W203" s="6">
        <v>0.42798386000000005</v>
      </c>
      <c r="X203" s="6">
        <v>205.15896246</v>
      </c>
      <c r="Y203" s="6">
        <v>17.64388714</v>
      </c>
      <c r="Z203" s="6">
        <v>12506.1</v>
      </c>
      <c r="AA203" s="6">
        <v>2619.3426238700008</v>
      </c>
      <c r="AB203" s="6">
        <v>1128.5303018699999</v>
      </c>
      <c r="AC203" s="6">
        <v>261.00316846999999</v>
      </c>
      <c r="AD203" s="6">
        <v>14.704228220000001</v>
      </c>
      <c r="AE203" s="6">
        <v>-147.46665645999875</v>
      </c>
    </row>
    <row r="204" spans="1:31" ht="15.75" x14ac:dyDescent="0.25">
      <c r="A204" s="28">
        <v>40969</v>
      </c>
      <c r="B204" s="6">
        <v>7389.7</v>
      </c>
      <c r="C204" s="6">
        <v>381.8</v>
      </c>
      <c r="D204" s="6">
        <v>9946.2999999999993</v>
      </c>
      <c r="E204" s="6">
        <v>4025.5</v>
      </c>
      <c r="F204" s="6">
        <v>133.1</v>
      </c>
      <c r="G204" s="6">
        <v>3374.7</v>
      </c>
      <c r="H204">
        <v>591.03248293000001</v>
      </c>
      <c r="I204" s="6">
        <v>450.53902307999988</v>
      </c>
      <c r="J204" s="6">
        <v>91.603493809999989</v>
      </c>
      <c r="K204" s="6">
        <v>226</v>
      </c>
      <c r="L204" s="6">
        <v>200</v>
      </c>
      <c r="M204" s="6" t="s">
        <v>69</v>
      </c>
      <c r="N204" s="6">
        <v>2685.5302266699996</v>
      </c>
      <c r="O204" s="6">
        <v>120.3</v>
      </c>
      <c r="P204" s="6" t="s">
        <v>69</v>
      </c>
      <c r="Q204" s="6">
        <v>295.03889729000014</v>
      </c>
      <c r="R204" s="6">
        <v>145.90327608000001</v>
      </c>
      <c r="S204" s="6">
        <v>5669</v>
      </c>
      <c r="T204" s="6">
        <v>1117.5018575300001</v>
      </c>
      <c r="U204" s="6">
        <v>22.98765165</v>
      </c>
      <c r="V204" s="6">
        <v>1.9515399999999999E-2</v>
      </c>
      <c r="W204" s="6">
        <v>0.67435277999999998</v>
      </c>
      <c r="X204" s="6">
        <v>220.49806164</v>
      </c>
      <c r="Y204" s="6">
        <v>36.146653449999995</v>
      </c>
      <c r="Z204" s="6">
        <v>12756.2</v>
      </c>
      <c r="AA204" s="6">
        <v>2657.4060525199993</v>
      </c>
      <c r="AB204" s="6">
        <v>1195.91128381</v>
      </c>
      <c r="AC204" s="6">
        <v>294.26903447999996</v>
      </c>
      <c r="AD204" s="6">
        <v>15.649674259999998</v>
      </c>
      <c r="AE204" s="6">
        <v>422.56878110000008</v>
      </c>
    </row>
    <row r="205" spans="1:31" ht="15.75" x14ac:dyDescent="0.25">
      <c r="A205" s="28">
        <v>41000</v>
      </c>
      <c r="B205" s="6">
        <v>7109.4886769300001</v>
      </c>
      <c r="C205" s="6">
        <v>358.22093206000005</v>
      </c>
      <c r="D205" s="6">
        <v>10420.139993320001</v>
      </c>
      <c r="E205" s="6">
        <v>3596.0505119700001</v>
      </c>
      <c r="F205" s="6">
        <v>96.847843250000011</v>
      </c>
      <c r="G205" s="6">
        <v>3167.3860539699999</v>
      </c>
      <c r="H205">
        <v>632.12609936000001</v>
      </c>
      <c r="I205" s="6">
        <v>458.38358693999999</v>
      </c>
      <c r="J205" s="6">
        <v>103.06679134999999</v>
      </c>
      <c r="K205" s="6">
        <v>120</v>
      </c>
      <c r="L205" s="6">
        <v>0</v>
      </c>
      <c r="M205" s="6" t="s">
        <v>69</v>
      </c>
      <c r="N205" s="6">
        <v>3214.82516248</v>
      </c>
      <c r="O205" s="6">
        <v>330.28709158999999</v>
      </c>
      <c r="P205" s="6" t="s">
        <v>69</v>
      </c>
      <c r="Q205" s="6">
        <v>282.40076402999995</v>
      </c>
      <c r="R205" s="6">
        <v>161.18944199999999</v>
      </c>
      <c r="S205" s="6">
        <v>7024.3506762199995</v>
      </c>
      <c r="T205" s="6">
        <v>845.05718148999995</v>
      </c>
      <c r="U205" s="6">
        <v>19.54369501</v>
      </c>
      <c r="V205" s="6">
        <v>1.8102999999999997E-3</v>
      </c>
      <c r="W205" s="6">
        <v>0.68571468999999974</v>
      </c>
      <c r="X205" s="6">
        <v>193.47303296000001</v>
      </c>
      <c r="Y205" s="6">
        <v>24.069493230000003</v>
      </c>
      <c r="Z205" s="6">
        <v>13125.7</v>
      </c>
      <c r="AA205" s="6">
        <v>2629.0437385700006</v>
      </c>
      <c r="AB205" s="6">
        <v>1119.6333341699999</v>
      </c>
      <c r="AC205" s="6">
        <v>240.60168868000005</v>
      </c>
      <c r="AD205" s="6">
        <v>20.395990410000003</v>
      </c>
      <c r="AE205" s="6">
        <v>-403.82885921999946</v>
      </c>
    </row>
    <row r="206" spans="1:31" ht="15.75" x14ac:dyDescent="0.25">
      <c r="A206" s="28">
        <v>41030</v>
      </c>
      <c r="B206" s="6">
        <v>14404.252147839999</v>
      </c>
      <c r="C206" s="6">
        <v>479.10698388000003</v>
      </c>
      <c r="D206" s="6">
        <v>11119.990232900002</v>
      </c>
      <c r="E206" s="6">
        <v>4679.4648164500004</v>
      </c>
      <c r="F206" s="6">
        <v>131.68202436999999</v>
      </c>
      <c r="G206" s="6">
        <v>3665.4408687800001</v>
      </c>
      <c r="H206">
        <v>568.73006131</v>
      </c>
      <c r="I206" s="6">
        <v>380.45487537999998</v>
      </c>
      <c r="J206" s="6">
        <v>87.149864169999987</v>
      </c>
      <c r="K206" s="6">
        <v>0</v>
      </c>
      <c r="L206" s="6">
        <v>0</v>
      </c>
      <c r="M206" s="6" t="s">
        <v>69</v>
      </c>
      <c r="N206" s="6">
        <v>2951.2304921200002</v>
      </c>
      <c r="O206" s="6">
        <v>2048.5759462399997</v>
      </c>
      <c r="P206" s="6" t="s">
        <v>69</v>
      </c>
      <c r="Q206" s="6">
        <v>318.64095756</v>
      </c>
      <c r="R206" s="6">
        <v>191.17961631</v>
      </c>
      <c r="S206" s="6">
        <v>5767.63762967</v>
      </c>
      <c r="T206" s="6">
        <v>1172.1827876100003</v>
      </c>
      <c r="U206" s="6">
        <v>25.903167220000004</v>
      </c>
      <c r="V206" s="6">
        <v>3.6716E-4</v>
      </c>
      <c r="W206" s="6">
        <v>1.0244680099999999</v>
      </c>
      <c r="X206" s="6">
        <v>263.20660330999999</v>
      </c>
      <c r="Y206" s="6">
        <v>24.474207070000002</v>
      </c>
      <c r="Z206" s="6">
        <v>13650.9</v>
      </c>
      <c r="AA206" s="6">
        <v>2740.5807267</v>
      </c>
      <c r="AB206" s="6">
        <v>1233.2074968600002</v>
      </c>
      <c r="AC206" s="6">
        <v>310.97682863999995</v>
      </c>
      <c r="AD206" s="6">
        <v>25.160054399999993</v>
      </c>
      <c r="AE206" s="6">
        <v>562.07435782999983</v>
      </c>
    </row>
    <row r="207" spans="1:31" ht="15.75" x14ac:dyDescent="0.25">
      <c r="A207" s="28">
        <v>41061</v>
      </c>
      <c r="B207" s="6">
        <v>15557.078597719999</v>
      </c>
      <c r="C207" s="6">
        <v>477.46978038999998</v>
      </c>
      <c r="D207" s="6">
        <v>11027.256220219999</v>
      </c>
      <c r="E207" s="6">
        <v>4539.6740539100001</v>
      </c>
      <c r="F207" s="6">
        <v>103.61217492</v>
      </c>
      <c r="G207" s="6">
        <v>3753.0691530099994</v>
      </c>
      <c r="H207">
        <v>586.72359941000013</v>
      </c>
      <c r="I207" s="6">
        <v>410.59680990000004</v>
      </c>
      <c r="J207" s="6">
        <v>96.791872009999977</v>
      </c>
      <c r="K207" s="6">
        <v>175.62299999999999</v>
      </c>
      <c r="L207" s="6">
        <v>227</v>
      </c>
      <c r="M207" s="6" t="s">
        <v>69</v>
      </c>
      <c r="N207" s="6">
        <v>2653.8595539799999</v>
      </c>
      <c r="O207" s="6">
        <v>926.76339622</v>
      </c>
      <c r="P207" s="6" t="s">
        <v>69</v>
      </c>
      <c r="Q207" s="6">
        <v>319.56768856999992</v>
      </c>
      <c r="R207" s="6">
        <v>209.46636894</v>
      </c>
      <c r="S207" s="6">
        <v>4161.8638909700003</v>
      </c>
      <c r="T207" s="6">
        <v>1245.2198609200002</v>
      </c>
      <c r="U207" s="6">
        <v>25.477204980000003</v>
      </c>
      <c r="V207" s="6">
        <v>1.350524E-2</v>
      </c>
      <c r="W207" s="6">
        <v>0.71416062000000013</v>
      </c>
      <c r="X207" s="6">
        <v>263.25677999000004</v>
      </c>
      <c r="Y207" s="6">
        <v>23.214270829999997</v>
      </c>
      <c r="Z207" s="6">
        <v>13637</v>
      </c>
      <c r="AA207" s="6">
        <v>2796.8287179399999</v>
      </c>
      <c r="AB207" s="6">
        <v>1231.2105098799998</v>
      </c>
      <c r="AC207" s="6">
        <v>280.78558071999998</v>
      </c>
      <c r="AD207" s="6">
        <v>17.98021039</v>
      </c>
      <c r="AE207" s="6">
        <v>441.97715765000089</v>
      </c>
    </row>
    <row r="208" spans="1:31" ht="15.75" x14ac:dyDescent="0.25">
      <c r="A208" s="28">
        <v>41091</v>
      </c>
      <c r="B208" s="6">
        <v>10473.984258959999</v>
      </c>
      <c r="C208" s="6">
        <v>512.17191257000002</v>
      </c>
      <c r="D208" s="6">
        <v>10750.101563209999</v>
      </c>
      <c r="E208" s="6">
        <v>5300.6897519699996</v>
      </c>
      <c r="F208" s="6">
        <v>112.37545100999999</v>
      </c>
      <c r="G208" s="6">
        <v>3589.3843567200001</v>
      </c>
      <c r="H208">
        <v>623.66641741000001</v>
      </c>
      <c r="I208" s="6">
        <v>374.42709197999994</v>
      </c>
      <c r="J208" s="6">
        <v>98.509861269999973</v>
      </c>
      <c r="K208" s="6">
        <v>511</v>
      </c>
      <c r="L208" s="6">
        <v>250</v>
      </c>
      <c r="M208" s="6" t="s">
        <v>69</v>
      </c>
      <c r="N208" s="6">
        <v>3867.5474066099996</v>
      </c>
      <c r="O208" s="6">
        <v>488.31621019000005</v>
      </c>
      <c r="P208" s="6" t="s">
        <v>69</v>
      </c>
      <c r="Q208" s="6">
        <v>334.24478108000005</v>
      </c>
      <c r="R208" s="6">
        <v>173.77486891000001</v>
      </c>
      <c r="S208" s="6">
        <v>6722.9264910900001</v>
      </c>
      <c r="T208" s="6">
        <v>1290.6886387599998</v>
      </c>
      <c r="U208" s="6">
        <v>28.637681649999998</v>
      </c>
      <c r="V208" s="6">
        <v>1.3984299999999998E-3</v>
      </c>
      <c r="W208" s="6">
        <v>0.83815247000000004</v>
      </c>
      <c r="X208" s="6">
        <v>281.00224939000003</v>
      </c>
      <c r="Y208" s="6">
        <v>34.437979800000001</v>
      </c>
      <c r="Z208" s="6">
        <v>18467.2</v>
      </c>
      <c r="AA208" s="6">
        <v>4020.7640224200004</v>
      </c>
      <c r="AB208" s="6">
        <v>1735.6375410400003</v>
      </c>
      <c r="AC208" s="6">
        <v>368.66216995000008</v>
      </c>
      <c r="AD208" s="6">
        <v>21.352753280000009</v>
      </c>
      <c r="AE208" s="6">
        <v>68.568732610000737</v>
      </c>
    </row>
    <row r="209" spans="1:31" ht="15.75" x14ac:dyDescent="0.25">
      <c r="A209" s="28">
        <v>41122</v>
      </c>
      <c r="B209" s="6">
        <v>11728.259153609999</v>
      </c>
      <c r="C209" s="6">
        <v>516.06779305000009</v>
      </c>
      <c r="D209" s="6">
        <v>11812.643699849999</v>
      </c>
      <c r="E209" s="6">
        <v>5100.7216770200002</v>
      </c>
      <c r="F209" s="6">
        <v>124.93858801</v>
      </c>
      <c r="G209" s="6">
        <v>3882.25297963</v>
      </c>
      <c r="H209">
        <v>603.91242305000003</v>
      </c>
      <c r="I209" s="6">
        <v>525.72133896000003</v>
      </c>
      <c r="J209" s="6">
        <v>89.591382840000009</v>
      </c>
      <c r="K209" s="6">
        <v>3</v>
      </c>
      <c r="L209" s="6">
        <v>0</v>
      </c>
      <c r="M209" s="6" t="s">
        <v>69</v>
      </c>
      <c r="N209" s="6">
        <v>3657.8154931200011</v>
      </c>
      <c r="O209" s="6">
        <v>790.02731887000004</v>
      </c>
      <c r="P209" s="6" t="s">
        <v>69</v>
      </c>
      <c r="Q209" s="6">
        <v>340.80452289999999</v>
      </c>
      <c r="R209" s="6">
        <v>193.12170180999996</v>
      </c>
      <c r="S209" s="6">
        <v>5965.6018006499999</v>
      </c>
      <c r="T209" s="6">
        <v>1670.5491855599998</v>
      </c>
      <c r="U209" s="6">
        <v>31.89593021</v>
      </c>
      <c r="V209" s="6">
        <v>2.5409999999999999E-5</v>
      </c>
      <c r="W209" s="6">
        <v>2.0223050700000003</v>
      </c>
      <c r="X209" s="6">
        <v>306.68341645000004</v>
      </c>
      <c r="Y209" s="6">
        <v>31.265755420000001</v>
      </c>
      <c r="Z209" s="6">
        <v>14472.2</v>
      </c>
      <c r="AA209" s="6">
        <v>2980.3503146500011</v>
      </c>
      <c r="AB209" s="6">
        <v>1382.33300386</v>
      </c>
      <c r="AC209" s="6">
        <v>385.48217305999998</v>
      </c>
      <c r="AD209" s="6">
        <v>17.014936729999999</v>
      </c>
      <c r="AE209" s="6">
        <v>286.20900047000009</v>
      </c>
    </row>
    <row r="210" spans="1:31" ht="15.75" x14ac:dyDescent="0.25">
      <c r="A210" s="28">
        <v>41153</v>
      </c>
      <c r="B210" s="6">
        <v>10157.98260992</v>
      </c>
      <c r="C210" s="6">
        <v>674.27090113000008</v>
      </c>
      <c r="D210" s="6">
        <v>11448.439429030001</v>
      </c>
      <c r="E210" s="6">
        <v>5348.2167333800007</v>
      </c>
      <c r="F210" s="6">
        <v>122.7397206</v>
      </c>
      <c r="G210" s="6">
        <v>3919.5359278700003</v>
      </c>
      <c r="H210">
        <v>671.50724418999994</v>
      </c>
      <c r="I210" s="6">
        <v>477.42267907000002</v>
      </c>
      <c r="J210" s="6">
        <v>106.46469313</v>
      </c>
      <c r="K210" s="6">
        <v>9.1999999999999993</v>
      </c>
      <c r="L210" s="6">
        <v>0</v>
      </c>
      <c r="M210" s="6" t="s">
        <v>69</v>
      </c>
      <c r="N210" s="6">
        <v>3718.2028159900001</v>
      </c>
      <c r="O210" s="6">
        <v>220.01936316999999</v>
      </c>
      <c r="P210" s="6" t="s">
        <v>69</v>
      </c>
      <c r="Q210" s="6">
        <v>323.91969611000002</v>
      </c>
      <c r="R210" s="6">
        <v>176.45248384999999</v>
      </c>
      <c r="S210" s="6">
        <v>5204.8252636999996</v>
      </c>
      <c r="T210" s="6">
        <v>1567.5309723200003</v>
      </c>
      <c r="U210" s="6">
        <v>28.604914409999999</v>
      </c>
      <c r="V210" s="6">
        <v>-1.04758697</v>
      </c>
      <c r="W210" s="6">
        <v>0.72644872000000005</v>
      </c>
      <c r="X210" s="6">
        <v>266.98822114000001</v>
      </c>
      <c r="Y210" s="6">
        <v>27.770202320000003</v>
      </c>
      <c r="Z210" s="6">
        <v>14537.9</v>
      </c>
      <c r="AA210" s="6">
        <v>2881.4593721699994</v>
      </c>
      <c r="AB210" s="6">
        <v>1307.4986312400001</v>
      </c>
      <c r="AC210" s="6">
        <v>373.06308959</v>
      </c>
      <c r="AD210" s="6">
        <v>12.446885570000003</v>
      </c>
      <c r="AE210" s="6">
        <v>122.14604339999946</v>
      </c>
    </row>
    <row r="211" spans="1:31" ht="15.75" x14ac:dyDescent="0.25">
      <c r="A211" s="28">
        <v>41183</v>
      </c>
      <c r="B211" s="6">
        <v>11535.8</v>
      </c>
      <c r="C211" s="6">
        <v>954</v>
      </c>
      <c r="D211" s="6">
        <v>11109.2</v>
      </c>
      <c r="E211" s="6">
        <v>6449.1</v>
      </c>
      <c r="F211" s="6">
        <v>125</v>
      </c>
      <c r="G211" s="6">
        <v>3671.5</v>
      </c>
      <c r="H211">
        <v>650.55564673000003</v>
      </c>
      <c r="I211" s="6">
        <v>513.88251099000013</v>
      </c>
      <c r="J211" s="6">
        <v>96.853230909999994</v>
      </c>
      <c r="K211" s="6">
        <v>1</v>
      </c>
      <c r="L211" s="6">
        <v>0</v>
      </c>
      <c r="M211" s="6" t="s">
        <v>69</v>
      </c>
      <c r="N211" s="6">
        <v>3405.6249098500007</v>
      </c>
      <c r="O211" s="6">
        <v>774.2</v>
      </c>
      <c r="P211" s="6" t="s">
        <v>69</v>
      </c>
      <c r="Q211" s="6">
        <v>365.86900488000003</v>
      </c>
      <c r="R211" s="6">
        <v>172.70840053000001</v>
      </c>
      <c r="S211" s="6">
        <v>4496.8</v>
      </c>
      <c r="T211" s="6">
        <v>1744.1024880500006</v>
      </c>
      <c r="U211" s="6">
        <v>34.041755210000005</v>
      </c>
      <c r="V211" s="6">
        <v>8.1058899999999989E-2</v>
      </c>
      <c r="W211" s="6">
        <v>0.66437658000000011</v>
      </c>
      <c r="X211" s="6">
        <v>306.50534672000003</v>
      </c>
      <c r="Y211" s="6">
        <v>32.059698050000002</v>
      </c>
      <c r="Z211" s="6">
        <v>15046.9</v>
      </c>
      <c r="AA211" s="6">
        <v>3032.1720261600003</v>
      </c>
      <c r="AB211" s="6">
        <v>1397.47415652</v>
      </c>
      <c r="AC211" s="6">
        <v>412.42783635000006</v>
      </c>
      <c r="AD211" s="6">
        <v>13.06905137</v>
      </c>
      <c r="AE211" s="6">
        <v>-32.587196719999959</v>
      </c>
    </row>
    <row r="212" spans="1:31" ht="15.75" x14ac:dyDescent="0.25">
      <c r="A212" s="28">
        <v>41214</v>
      </c>
      <c r="B212" s="6">
        <v>12925.33533491</v>
      </c>
      <c r="C212" s="6">
        <v>852.79148033000001</v>
      </c>
      <c r="D212" s="6">
        <v>12638.50921977</v>
      </c>
      <c r="E212" s="6">
        <v>5713.2005264899999</v>
      </c>
      <c r="F212" s="6">
        <v>157.71676065000003</v>
      </c>
      <c r="G212" s="6">
        <v>4106.5419584600004</v>
      </c>
      <c r="H212">
        <v>655.03308273999994</v>
      </c>
      <c r="I212" s="6">
        <v>554.53608110000005</v>
      </c>
      <c r="J212" s="6">
        <v>104.37809990999999</v>
      </c>
      <c r="K212" s="6">
        <v>535</v>
      </c>
      <c r="L212" s="6">
        <v>530</v>
      </c>
      <c r="M212" s="6" t="s">
        <v>69</v>
      </c>
      <c r="N212" s="6">
        <v>3540.7166952600001</v>
      </c>
      <c r="O212" s="6">
        <v>200.79066057</v>
      </c>
      <c r="P212" s="6" t="s">
        <v>69</v>
      </c>
      <c r="Q212" s="6">
        <v>344.4689965500001</v>
      </c>
      <c r="R212" s="6">
        <v>197.21555283000001</v>
      </c>
      <c r="S212" s="6">
        <v>4278.8560374799999</v>
      </c>
      <c r="T212" s="6">
        <v>1716.3920900999999</v>
      </c>
      <c r="U212" s="6">
        <v>31.302779349999994</v>
      </c>
      <c r="V212" s="6">
        <v>0.67312100999999991</v>
      </c>
      <c r="W212" s="6">
        <v>0.73298040999999992</v>
      </c>
      <c r="X212" s="6">
        <v>281.17513216999998</v>
      </c>
      <c r="Y212" s="6">
        <v>38.043687869999992</v>
      </c>
      <c r="Z212" s="6">
        <v>15383.1</v>
      </c>
      <c r="AA212" s="6">
        <v>3042.5776501300002</v>
      </c>
      <c r="AB212" s="6">
        <v>1375.9602198299997</v>
      </c>
      <c r="AC212" s="6">
        <v>385.31910270999987</v>
      </c>
      <c r="AD212" s="6">
        <v>13.969441549999997</v>
      </c>
      <c r="AE212" s="6">
        <v>-335.64891357000022</v>
      </c>
    </row>
    <row r="213" spans="1:31" ht="15.75" x14ac:dyDescent="0.25">
      <c r="A213" s="28">
        <v>41244</v>
      </c>
      <c r="B213" s="6">
        <v>12756</v>
      </c>
      <c r="C213" s="6">
        <v>846.4</v>
      </c>
      <c r="D213" s="6">
        <v>12456.5</v>
      </c>
      <c r="E213" s="6">
        <v>6221.2</v>
      </c>
      <c r="F213" s="6">
        <v>142</v>
      </c>
      <c r="G213" s="6">
        <v>4338.1000000000004</v>
      </c>
      <c r="H213">
        <v>676.45419259000005</v>
      </c>
      <c r="I213" s="6">
        <v>565.22509430000002</v>
      </c>
      <c r="J213" s="6">
        <v>122.38835742999999</v>
      </c>
      <c r="K213" s="6">
        <v>490</v>
      </c>
      <c r="L213" s="6">
        <v>280</v>
      </c>
      <c r="M213" s="6" t="s">
        <v>69</v>
      </c>
      <c r="N213" s="6">
        <v>5908.5276054600008</v>
      </c>
      <c r="O213" s="6">
        <v>741.7</v>
      </c>
      <c r="P213" s="6" t="s">
        <v>69</v>
      </c>
      <c r="Q213" s="6">
        <v>346.88315964999998</v>
      </c>
      <c r="R213" s="6">
        <v>188.53761380000003</v>
      </c>
      <c r="S213" s="6">
        <v>3237.4</v>
      </c>
      <c r="T213" s="6">
        <v>1686.3857714399999</v>
      </c>
      <c r="U213" s="6">
        <v>31.262996259999998</v>
      </c>
      <c r="V213" s="6">
        <v>2.0812099999999996E-3</v>
      </c>
      <c r="W213" s="6">
        <v>0.31837266999999997</v>
      </c>
      <c r="X213" s="6">
        <v>278.05961616999997</v>
      </c>
      <c r="Y213" s="6">
        <v>27.714565399999998</v>
      </c>
      <c r="Z213" s="6">
        <v>15548.9</v>
      </c>
      <c r="AA213" s="6">
        <v>3089.0785282099991</v>
      </c>
      <c r="AB213" s="6">
        <v>1559.1071249699999</v>
      </c>
      <c r="AC213" s="6">
        <v>377.01133600999987</v>
      </c>
      <c r="AD213" s="6">
        <v>14.443318860000002</v>
      </c>
      <c r="AE213" s="6">
        <v>-177.32191955000039</v>
      </c>
    </row>
    <row r="214" spans="1:31" ht="15.75" x14ac:dyDescent="0.25">
      <c r="A214" s="28">
        <v>41275</v>
      </c>
      <c r="B214" s="6">
        <v>11647</v>
      </c>
      <c r="C214" s="6">
        <v>859.8</v>
      </c>
      <c r="D214" s="6">
        <v>13317</v>
      </c>
      <c r="E214" s="6">
        <v>5853.7</v>
      </c>
      <c r="F214" s="6">
        <v>107.4</v>
      </c>
      <c r="G214" s="6">
        <v>4130.7</v>
      </c>
      <c r="H214" s="6">
        <v>703.90677800000003</v>
      </c>
      <c r="I214" s="6">
        <v>627.31191899999999</v>
      </c>
      <c r="J214" s="6">
        <v>104.348986</v>
      </c>
      <c r="K214" s="6">
        <v>43</v>
      </c>
      <c r="L214" s="6">
        <v>100</v>
      </c>
      <c r="M214" s="6" t="s">
        <v>69</v>
      </c>
      <c r="N214" s="6">
        <v>1906.7423191099999</v>
      </c>
      <c r="O214" s="6">
        <v>165.8</v>
      </c>
      <c r="P214" s="6" t="s">
        <v>69</v>
      </c>
      <c r="Q214" s="6">
        <v>352.38210900000001</v>
      </c>
      <c r="R214" s="6">
        <v>208.870767</v>
      </c>
      <c r="S214" s="6">
        <v>2974.2</v>
      </c>
      <c r="T214" s="6">
        <v>1739.0634299999999</v>
      </c>
      <c r="U214" s="6">
        <v>31.321916900000002</v>
      </c>
      <c r="V214" s="6">
        <v>1.088005E-2</v>
      </c>
      <c r="W214" s="6">
        <v>1.0703810899999999</v>
      </c>
      <c r="X214" s="6">
        <v>272.50543199999998</v>
      </c>
      <c r="Y214" s="6">
        <v>30.092414399999999</v>
      </c>
      <c r="Z214" s="6">
        <v>21044</v>
      </c>
      <c r="AA214" s="6">
        <v>4548.9392099999995</v>
      </c>
      <c r="AB214" s="6">
        <v>2261.4250400000001</v>
      </c>
      <c r="AC214" s="6">
        <v>429.64242899999999</v>
      </c>
      <c r="AD214" s="6">
        <v>14.6587455</v>
      </c>
      <c r="AE214" s="6">
        <v>172.855839</v>
      </c>
    </row>
    <row r="215" spans="1:31" ht="15.75" x14ac:dyDescent="0.25">
      <c r="A215" s="28">
        <v>41306</v>
      </c>
      <c r="B215" s="6">
        <v>11871.469950640001</v>
      </c>
      <c r="C215" s="6">
        <v>883.91585126999996</v>
      </c>
      <c r="D215" s="6">
        <v>12709.901901589998</v>
      </c>
      <c r="E215" s="6">
        <v>5881.8718994199999</v>
      </c>
      <c r="F215" s="6">
        <v>111.91396411999999</v>
      </c>
      <c r="G215" s="6">
        <v>3998.7550841100001</v>
      </c>
      <c r="H215" s="6">
        <v>722.46766400000001</v>
      </c>
      <c r="I215" s="6">
        <v>568.22646699999996</v>
      </c>
      <c r="J215" s="6">
        <v>116.964213</v>
      </c>
      <c r="K215" s="6">
        <v>357</v>
      </c>
      <c r="L215" s="6">
        <v>285</v>
      </c>
      <c r="M215" s="6" t="s">
        <v>69</v>
      </c>
      <c r="N215" s="6">
        <v>3779.97430067</v>
      </c>
      <c r="O215" s="6">
        <v>650.60771721000003</v>
      </c>
      <c r="P215" s="6" t="s">
        <v>69</v>
      </c>
      <c r="Q215" s="6">
        <v>359.56102800000002</v>
      </c>
      <c r="R215" s="6">
        <v>165.916326</v>
      </c>
      <c r="S215" s="6">
        <v>2813.1595913300002</v>
      </c>
      <c r="T215" s="6">
        <v>1644.6451300000001</v>
      </c>
      <c r="U215" s="6">
        <v>28.927891800000001</v>
      </c>
      <c r="V215" s="6">
        <v>1.5985999999999999E-3</v>
      </c>
      <c r="W215" s="6">
        <v>0.35725544999999997</v>
      </c>
      <c r="X215" s="6">
        <v>269.351653</v>
      </c>
      <c r="Y215" s="6">
        <v>23.652893200000001</v>
      </c>
      <c r="Z215" s="6">
        <v>16480.3</v>
      </c>
      <c r="AA215" s="6">
        <v>3381.4233599999998</v>
      </c>
      <c r="AB215" s="6">
        <v>1703.3694499999999</v>
      </c>
      <c r="AC215" s="6">
        <v>354.24324200000001</v>
      </c>
      <c r="AD215" s="6">
        <v>14.861376099999999</v>
      </c>
      <c r="AE215" s="6">
        <v>293.47251799999998</v>
      </c>
    </row>
    <row r="216" spans="1:31" ht="15.75" x14ac:dyDescent="0.25">
      <c r="A216" s="28">
        <v>41334</v>
      </c>
      <c r="B216" s="6">
        <v>10863.6</v>
      </c>
      <c r="C216" s="6">
        <v>824.8</v>
      </c>
      <c r="D216" s="6">
        <v>13130</v>
      </c>
      <c r="E216" s="6">
        <v>5490.3</v>
      </c>
      <c r="F216" s="6">
        <v>172.6</v>
      </c>
      <c r="G216" s="6">
        <v>4068.1</v>
      </c>
      <c r="H216" s="6">
        <v>746.79956800000002</v>
      </c>
      <c r="I216" s="6">
        <v>534.27228300000002</v>
      </c>
      <c r="J216" s="6">
        <v>106.65487299999999</v>
      </c>
      <c r="K216" s="6">
        <v>262</v>
      </c>
      <c r="L216" s="6">
        <v>250</v>
      </c>
      <c r="M216" s="6" t="s">
        <v>69</v>
      </c>
      <c r="N216" s="6">
        <v>2913.6445117599997</v>
      </c>
      <c r="O216" s="6">
        <v>178.2</v>
      </c>
      <c r="P216" s="6" t="s">
        <v>69</v>
      </c>
      <c r="Q216" s="6">
        <v>367.256958</v>
      </c>
      <c r="R216" s="6">
        <v>192.61524199999999</v>
      </c>
      <c r="S216" s="6">
        <v>3995.3</v>
      </c>
      <c r="T216" s="6">
        <v>1622.9078</v>
      </c>
      <c r="U216" s="6">
        <v>29.811191099999998</v>
      </c>
      <c r="V216" s="6">
        <v>2.3395079999999999E-2</v>
      </c>
      <c r="W216" s="6">
        <v>0.94459886000000004</v>
      </c>
      <c r="X216" s="6">
        <v>276.26576399999999</v>
      </c>
      <c r="Y216" s="6">
        <v>29.732520099999999</v>
      </c>
      <c r="Z216" s="6">
        <v>16793.900000000001</v>
      </c>
      <c r="AA216" s="6">
        <v>3395.1602600000001</v>
      </c>
      <c r="AB216" s="6">
        <v>1703.19274</v>
      </c>
      <c r="AC216" s="6">
        <v>406.95637699999997</v>
      </c>
      <c r="AD216" s="6">
        <v>15.0885707</v>
      </c>
      <c r="AE216" s="6">
        <v>-245.31605500000001</v>
      </c>
    </row>
    <row r="217" spans="1:31" ht="15.75" x14ac:dyDescent="0.25">
      <c r="A217" s="28">
        <v>41365</v>
      </c>
      <c r="B217" s="6">
        <v>9989.4</v>
      </c>
      <c r="C217" s="6">
        <v>1056.2</v>
      </c>
      <c r="D217" s="6">
        <v>11832.6</v>
      </c>
      <c r="E217" s="6">
        <v>7048.6</v>
      </c>
      <c r="F217" s="6">
        <v>116</v>
      </c>
      <c r="G217" s="6">
        <v>4029.6</v>
      </c>
      <c r="H217" s="6">
        <v>730.83692499999995</v>
      </c>
      <c r="I217" s="6">
        <v>569.12780099999998</v>
      </c>
      <c r="J217" s="6">
        <v>112.380779</v>
      </c>
      <c r="K217" s="6">
        <v>372</v>
      </c>
      <c r="L217" s="6">
        <v>400</v>
      </c>
      <c r="M217" s="6" t="s">
        <v>69</v>
      </c>
      <c r="N217" s="6">
        <v>4235.8158953899992</v>
      </c>
      <c r="O217" s="6">
        <v>555.70000000000005</v>
      </c>
      <c r="P217" s="6" t="s">
        <v>69</v>
      </c>
      <c r="Q217" s="6">
        <v>367.22337900000002</v>
      </c>
      <c r="R217" s="6">
        <v>176.50940600000001</v>
      </c>
      <c r="S217" s="6">
        <v>8809.2999999999993</v>
      </c>
      <c r="T217" s="6">
        <v>1817.8432700000001</v>
      </c>
      <c r="U217" s="6">
        <v>33.531059499999998</v>
      </c>
      <c r="V217" s="6">
        <v>7.6291600000000003E-3</v>
      </c>
      <c r="W217" s="6">
        <v>0.25715985000000002</v>
      </c>
      <c r="X217" s="6">
        <v>355.81211100000002</v>
      </c>
      <c r="Y217" s="6">
        <v>30.868054600000001</v>
      </c>
      <c r="Z217" s="6">
        <v>18366.599999999999</v>
      </c>
      <c r="AA217" s="6">
        <v>3523.0543699999998</v>
      </c>
      <c r="AB217" s="6">
        <v>1765.35942</v>
      </c>
      <c r="AC217" s="6">
        <v>404.75724600000001</v>
      </c>
      <c r="AD217" s="6">
        <v>15.0415443</v>
      </c>
      <c r="AE217" s="6">
        <v>-115.20369599999999</v>
      </c>
    </row>
    <row r="218" spans="1:31" ht="15.75" x14ac:dyDescent="0.25">
      <c r="A218" s="28">
        <v>41395</v>
      </c>
      <c r="B218" s="6">
        <v>20080.945250800003</v>
      </c>
      <c r="C218" s="6">
        <v>1020.7684004600001</v>
      </c>
      <c r="D218" s="6">
        <v>13826.66711332</v>
      </c>
      <c r="E218" s="6">
        <v>6847.1830529599993</v>
      </c>
      <c r="F218" s="6">
        <v>240.23342655000002</v>
      </c>
      <c r="G218" s="6">
        <v>4802.5532854000003</v>
      </c>
      <c r="H218" s="6">
        <v>624.27894100000003</v>
      </c>
      <c r="I218" s="6">
        <v>629.83235200000001</v>
      </c>
      <c r="J218" s="6">
        <v>95.792798099999999</v>
      </c>
      <c r="K218" s="6">
        <v>351</v>
      </c>
      <c r="L218" s="6">
        <v>514</v>
      </c>
      <c r="M218" s="6" t="s">
        <v>69</v>
      </c>
      <c r="N218" s="6">
        <v>3556.3596511899996</v>
      </c>
      <c r="O218" s="6">
        <v>2785.2667567100002</v>
      </c>
      <c r="P218" s="6" t="s">
        <v>69</v>
      </c>
      <c r="Q218" s="6">
        <v>384.53865300000001</v>
      </c>
      <c r="R218" s="6">
        <v>203.395667</v>
      </c>
      <c r="S218" s="6">
        <v>5399.8400210700001</v>
      </c>
      <c r="T218" s="6">
        <v>1934.7404899999999</v>
      </c>
      <c r="U218" s="6">
        <v>34.079591800000003</v>
      </c>
      <c r="V218" s="6">
        <v>2.5409999999999999E-5</v>
      </c>
      <c r="W218" s="6">
        <v>0.11138234</v>
      </c>
      <c r="X218" s="6">
        <v>561.35655399999996</v>
      </c>
      <c r="Y218" s="6">
        <v>26.643443000000001</v>
      </c>
      <c r="Z218" s="6">
        <v>18510.8</v>
      </c>
      <c r="AA218" s="6">
        <v>3504.0367799999999</v>
      </c>
      <c r="AB218" s="6">
        <v>1840.7014099999999</v>
      </c>
      <c r="AC218" s="6">
        <v>413.45246400000002</v>
      </c>
      <c r="AD218" s="6">
        <v>15.194518800000001</v>
      </c>
      <c r="AE218" s="6">
        <v>-1011.17884</v>
      </c>
    </row>
    <row r="219" spans="1:31" ht="15.75" x14ac:dyDescent="0.25">
      <c r="A219" s="28">
        <v>41426</v>
      </c>
      <c r="B219" s="6">
        <v>21030.185313299997</v>
      </c>
      <c r="C219" s="6">
        <v>884.20289745000002</v>
      </c>
      <c r="D219" s="6">
        <v>13811.34154661</v>
      </c>
      <c r="E219" s="6">
        <v>6178.6395202799995</v>
      </c>
      <c r="F219" s="6">
        <v>124.01005185999999</v>
      </c>
      <c r="G219" s="6">
        <v>4492.3732164400008</v>
      </c>
      <c r="H219" s="6">
        <v>797.50933599999996</v>
      </c>
      <c r="I219" s="6">
        <v>535.52695100000005</v>
      </c>
      <c r="J219" s="6">
        <v>122.335689</v>
      </c>
      <c r="K219" s="6">
        <v>260</v>
      </c>
      <c r="L219" s="6">
        <v>685</v>
      </c>
      <c r="M219" s="6" t="s">
        <v>69</v>
      </c>
      <c r="N219" s="6">
        <v>3788.5730171600003</v>
      </c>
      <c r="O219" s="6">
        <v>1418.1509490000003</v>
      </c>
      <c r="P219" s="6" t="s">
        <v>69</v>
      </c>
      <c r="Q219" s="6">
        <v>379.86211800000001</v>
      </c>
      <c r="R219" s="6">
        <v>207.789905</v>
      </c>
      <c r="S219" s="6">
        <v>4122.9642106000001</v>
      </c>
      <c r="T219" s="6">
        <v>1663.89978</v>
      </c>
      <c r="U219" s="6">
        <v>29.913032099999999</v>
      </c>
      <c r="V219" s="6">
        <v>2.5409999999999999E-5</v>
      </c>
      <c r="W219" s="6">
        <v>3.5187299999999998E-2</v>
      </c>
      <c r="X219" s="6">
        <v>563.99777200000005</v>
      </c>
      <c r="Y219" s="6">
        <v>21.519344700000001</v>
      </c>
      <c r="Z219" s="6">
        <v>18020.3</v>
      </c>
      <c r="AA219" s="6">
        <v>3515.5747700000002</v>
      </c>
      <c r="AB219" s="6">
        <v>1764.71028</v>
      </c>
      <c r="AC219" s="6">
        <v>374.250517</v>
      </c>
      <c r="AD219" s="6">
        <v>14.638744000000001</v>
      </c>
      <c r="AE219" s="6">
        <v>-232.65639400000001</v>
      </c>
    </row>
    <row r="220" spans="1:31" ht="15.75" x14ac:dyDescent="0.25">
      <c r="A220" s="28">
        <v>41456</v>
      </c>
      <c r="B220" s="6">
        <v>14655.183932739999</v>
      </c>
      <c r="C220" s="6">
        <v>993.60883267000008</v>
      </c>
      <c r="D220" s="6">
        <v>14897.87351157</v>
      </c>
      <c r="E220" s="6">
        <v>6867.8999664599996</v>
      </c>
      <c r="F220" s="6">
        <v>119.20755738</v>
      </c>
      <c r="G220" s="6">
        <v>5089.5892427199997</v>
      </c>
      <c r="H220" s="6">
        <v>704.75538900000004</v>
      </c>
      <c r="I220" s="6">
        <v>596.59386500000005</v>
      </c>
      <c r="J220" s="6">
        <v>101.388974</v>
      </c>
      <c r="K220" s="6">
        <v>204</v>
      </c>
      <c r="L220" s="6">
        <v>506</v>
      </c>
      <c r="M220" s="6" t="s">
        <v>69</v>
      </c>
      <c r="N220" s="6">
        <v>3609.7165686799999</v>
      </c>
      <c r="O220" s="6">
        <v>783.27596566000011</v>
      </c>
      <c r="P220" s="6" t="s">
        <v>69</v>
      </c>
      <c r="Q220" s="6">
        <v>415.397942</v>
      </c>
      <c r="R220" s="6">
        <v>205.924531</v>
      </c>
      <c r="S220" s="6">
        <v>5658.2747508499997</v>
      </c>
      <c r="T220" s="6">
        <v>2182.9916400000002</v>
      </c>
      <c r="U220" s="6">
        <v>38.395648799999996</v>
      </c>
      <c r="V220" s="6">
        <v>0</v>
      </c>
      <c r="W220" s="6">
        <v>7.5997980000000007E-2</v>
      </c>
      <c r="X220" s="6">
        <v>696.481043</v>
      </c>
      <c r="Y220" s="6">
        <v>34.843322899999997</v>
      </c>
      <c r="Z220" s="6">
        <v>25473.4</v>
      </c>
      <c r="AA220" s="6">
        <v>5183.2600599999996</v>
      </c>
      <c r="AB220" s="6">
        <v>2513.1254899999999</v>
      </c>
      <c r="AC220" s="6">
        <v>444.37768499999999</v>
      </c>
      <c r="AD220" s="6">
        <v>15.6517932</v>
      </c>
      <c r="AE220" s="6">
        <v>-476.76768700000002</v>
      </c>
    </row>
    <row r="221" spans="1:31" ht="15.75" x14ac:dyDescent="0.25">
      <c r="A221" s="28">
        <v>41487</v>
      </c>
      <c r="B221" s="6">
        <v>14731.4</v>
      </c>
      <c r="C221" s="6">
        <v>929.6</v>
      </c>
      <c r="D221" s="6">
        <v>14808.8</v>
      </c>
      <c r="E221" s="6">
        <v>7712.4</v>
      </c>
      <c r="F221" s="6">
        <v>136.30000000000001</v>
      </c>
      <c r="G221" s="6">
        <v>5036.5</v>
      </c>
      <c r="H221" s="6">
        <v>687.05887499999994</v>
      </c>
      <c r="I221" s="6">
        <v>605.081953</v>
      </c>
      <c r="J221" s="6">
        <v>112.88177</v>
      </c>
      <c r="K221" s="6">
        <v>180</v>
      </c>
      <c r="L221" s="6">
        <v>645</v>
      </c>
      <c r="M221" s="6" t="s">
        <v>69</v>
      </c>
      <c r="N221" s="6">
        <v>4150.5182505399998</v>
      </c>
      <c r="O221" s="6">
        <v>1084.8</v>
      </c>
      <c r="P221" s="6" t="s">
        <v>69</v>
      </c>
      <c r="Q221" s="6">
        <v>411.483428</v>
      </c>
      <c r="R221" s="6">
        <v>229.31152599999999</v>
      </c>
      <c r="S221" s="6">
        <v>6868.5</v>
      </c>
      <c r="T221" s="6">
        <v>1953.0958599999999</v>
      </c>
      <c r="U221" s="6">
        <v>36.254979900000002</v>
      </c>
      <c r="V221" s="6">
        <v>9.9768500000000006E-3</v>
      </c>
      <c r="W221" s="6">
        <v>6.0227700000000002E-2</v>
      </c>
      <c r="X221" s="6">
        <v>660.93517899999995</v>
      </c>
      <c r="Y221" s="6">
        <v>25.610072800000001</v>
      </c>
      <c r="Z221" s="6">
        <v>18666.8</v>
      </c>
      <c r="AA221" s="6">
        <v>3812.5234599999999</v>
      </c>
      <c r="AB221" s="6">
        <v>1928.40906</v>
      </c>
      <c r="AC221" s="6">
        <v>416.79490800000002</v>
      </c>
      <c r="AD221" s="6">
        <v>14.969764400000001</v>
      </c>
      <c r="AE221" s="6">
        <v>147.758354</v>
      </c>
    </row>
    <row r="222" spans="1:31" ht="15.75" x14ac:dyDescent="0.25">
      <c r="A222" s="28">
        <v>41518</v>
      </c>
      <c r="B222" s="6">
        <v>13180.59672913</v>
      </c>
      <c r="C222" s="6">
        <v>896.96538119000002</v>
      </c>
      <c r="D222" s="6">
        <v>15382.715054520002</v>
      </c>
      <c r="E222" s="6">
        <v>6924.6442915999996</v>
      </c>
      <c r="F222" s="6">
        <v>128.11544272999998</v>
      </c>
      <c r="G222" s="6">
        <v>4930.61325665</v>
      </c>
      <c r="H222" s="6">
        <v>786.84180200000003</v>
      </c>
      <c r="I222" s="6">
        <v>620.64695500000005</v>
      </c>
      <c r="J222" s="6">
        <v>124.38548900000001</v>
      </c>
      <c r="K222" s="6">
        <v>213</v>
      </c>
      <c r="L222" s="6">
        <v>642</v>
      </c>
      <c r="M222" s="6" t="s">
        <v>69</v>
      </c>
      <c r="N222" s="6">
        <v>4253.5593987399998</v>
      </c>
      <c r="O222" s="6">
        <v>321.75030701999998</v>
      </c>
      <c r="P222" s="6" t="s">
        <v>69</v>
      </c>
      <c r="Q222" s="6">
        <v>415.13817799999998</v>
      </c>
      <c r="R222" s="6">
        <v>224.38129599999999</v>
      </c>
      <c r="S222" s="6">
        <v>5187.9988814400003</v>
      </c>
      <c r="T222" s="6">
        <v>2005.6048900000001</v>
      </c>
      <c r="U222" s="6">
        <v>36.903658</v>
      </c>
      <c r="V222" s="6">
        <v>2.5409999999999999E-5</v>
      </c>
      <c r="W222" s="6">
        <v>0.36958579000000003</v>
      </c>
      <c r="X222" s="6">
        <v>576.671964</v>
      </c>
      <c r="Y222" s="6">
        <v>28.084118799999999</v>
      </c>
      <c r="Z222" s="6">
        <v>18736</v>
      </c>
      <c r="AA222" s="6">
        <v>3817.2371400000002</v>
      </c>
      <c r="AB222" s="6">
        <v>1929.2858200000001</v>
      </c>
      <c r="AC222" s="6">
        <v>422.68669599999998</v>
      </c>
      <c r="AD222" s="6">
        <v>15.6264406</v>
      </c>
      <c r="AE222" s="6">
        <v>-36.7578502</v>
      </c>
    </row>
    <row r="223" spans="1:31" ht="15.75" x14ac:dyDescent="0.25">
      <c r="A223" s="28">
        <v>41548</v>
      </c>
      <c r="B223" s="6">
        <v>13847.127082950001</v>
      </c>
      <c r="C223" s="6">
        <v>1011.68631572</v>
      </c>
      <c r="D223" s="6">
        <v>15485.841316309999</v>
      </c>
      <c r="E223" s="6">
        <v>7692.4170808500003</v>
      </c>
      <c r="F223" s="6">
        <v>152.91350806</v>
      </c>
      <c r="G223" s="6">
        <v>5201.0080592499999</v>
      </c>
      <c r="H223" s="6">
        <v>734.11167999999998</v>
      </c>
      <c r="I223" s="6">
        <v>697.37007100000005</v>
      </c>
      <c r="J223" s="6">
        <v>110.403634</v>
      </c>
      <c r="K223" s="6">
        <v>101</v>
      </c>
      <c r="L223" s="6">
        <v>680</v>
      </c>
      <c r="M223" s="6" t="s">
        <v>69</v>
      </c>
      <c r="N223" s="6">
        <v>4118.2997613400003</v>
      </c>
      <c r="O223" s="6">
        <v>1041.0285260999999</v>
      </c>
      <c r="P223" s="6" t="s">
        <v>69</v>
      </c>
      <c r="Q223" s="6">
        <v>353.66430600000001</v>
      </c>
      <c r="R223" s="6">
        <v>234.012798</v>
      </c>
      <c r="S223" s="6">
        <v>3956.67744214</v>
      </c>
      <c r="T223" s="6">
        <v>2347.9289800000001</v>
      </c>
      <c r="U223" s="6">
        <v>41.305402100000002</v>
      </c>
      <c r="V223" s="6">
        <v>4.3667650000000002E-2</v>
      </c>
      <c r="W223" s="6">
        <v>0.79667546</v>
      </c>
      <c r="X223" s="6">
        <v>632.82566899999995</v>
      </c>
      <c r="Y223" s="6">
        <v>31.7611287</v>
      </c>
      <c r="Z223" s="6">
        <v>19151.400000000001</v>
      </c>
      <c r="AA223" s="6">
        <v>3899.895</v>
      </c>
      <c r="AB223" s="6">
        <v>1964.48983</v>
      </c>
      <c r="AC223" s="6">
        <v>476.13090099999999</v>
      </c>
      <c r="AD223" s="6">
        <v>15.449782300000001</v>
      </c>
      <c r="AE223" s="6">
        <v>53.246284199999998</v>
      </c>
    </row>
    <row r="224" spans="1:31" ht="15.75" x14ac:dyDescent="0.25">
      <c r="A224" s="28">
        <v>41579</v>
      </c>
      <c r="B224" s="6">
        <v>14384.955261340001</v>
      </c>
      <c r="C224" s="6">
        <v>886.79261799000005</v>
      </c>
      <c r="D224" s="6">
        <v>16527.58961268</v>
      </c>
      <c r="E224" s="6">
        <v>6835.4461360300002</v>
      </c>
      <c r="F224" s="6">
        <v>167.04856054999999</v>
      </c>
      <c r="G224" s="6">
        <v>5459.5821314700006</v>
      </c>
      <c r="H224" s="6">
        <v>874.89304700000002</v>
      </c>
      <c r="I224" s="6">
        <v>713.83036100000004</v>
      </c>
      <c r="J224" s="6">
        <v>140.24695800000001</v>
      </c>
      <c r="K224" s="6">
        <v>107</v>
      </c>
      <c r="L224" s="6">
        <v>39</v>
      </c>
      <c r="M224" s="6" t="s">
        <v>69</v>
      </c>
      <c r="N224" s="6">
        <v>4030.2585491700002</v>
      </c>
      <c r="O224" s="6">
        <v>287.72563731999998</v>
      </c>
      <c r="P224" s="6" t="s">
        <v>69</v>
      </c>
      <c r="Q224" s="6">
        <v>314.43465300000003</v>
      </c>
      <c r="R224" s="6">
        <v>268.42194699999999</v>
      </c>
      <c r="S224" s="6">
        <v>2679.6366706499998</v>
      </c>
      <c r="T224" s="6">
        <v>2226.83005</v>
      </c>
      <c r="U224" s="6">
        <v>40.187647400000003</v>
      </c>
      <c r="V224" s="6">
        <v>8.1943999999999995E-4</v>
      </c>
      <c r="W224" s="6">
        <v>0.22810965</v>
      </c>
      <c r="X224" s="6">
        <v>577.62568099999999</v>
      </c>
      <c r="Y224" s="6">
        <v>23.9385096</v>
      </c>
      <c r="Z224" s="6">
        <v>19278.7</v>
      </c>
      <c r="AA224" s="6">
        <v>3890.0675999999999</v>
      </c>
      <c r="AB224" s="6">
        <v>1965.8763799999999</v>
      </c>
      <c r="AC224" s="6">
        <v>458.762495</v>
      </c>
      <c r="AD224" s="6">
        <v>15.5641517</v>
      </c>
      <c r="AE224" s="6">
        <v>80.019185300000004</v>
      </c>
    </row>
    <row r="225" spans="1:31" ht="15.75" x14ac:dyDescent="0.25">
      <c r="A225" s="28">
        <v>41609</v>
      </c>
      <c r="B225" s="6">
        <v>16156</v>
      </c>
      <c r="C225" s="6">
        <v>912.5</v>
      </c>
      <c r="D225" s="6">
        <v>14653.2</v>
      </c>
      <c r="E225" s="6">
        <v>8026.4</v>
      </c>
      <c r="F225" s="6">
        <v>152.69999999999999</v>
      </c>
      <c r="G225" s="6">
        <v>5275.5</v>
      </c>
      <c r="H225" s="6">
        <v>945.99970699999994</v>
      </c>
      <c r="I225" s="6">
        <v>732.901025</v>
      </c>
      <c r="J225" s="6">
        <v>144.48514299999999</v>
      </c>
      <c r="K225" s="6">
        <v>287</v>
      </c>
      <c r="L225" s="6">
        <v>647.9</v>
      </c>
      <c r="M225" s="6" t="s">
        <v>69</v>
      </c>
      <c r="N225" s="6">
        <v>6707.0333337600014</v>
      </c>
      <c r="O225" s="6">
        <v>1024</v>
      </c>
      <c r="P225" s="6" t="s">
        <v>69</v>
      </c>
      <c r="Q225" s="6">
        <v>301.94798700000001</v>
      </c>
      <c r="R225" s="6">
        <v>228.00937200000001</v>
      </c>
      <c r="S225" s="6">
        <v>2999.4</v>
      </c>
      <c r="T225" s="6">
        <v>1994.8010899999999</v>
      </c>
      <c r="U225" s="6">
        <v>35.536433299999999</v>
      </c>
      <c r="V225" s="6">
        <v>2.5826600000000001E-3</v>
      </c>
      <c r="W225" s="6">
        <v>1.4384780800000001</v>
      </c>
      <c r="X225" s="6">
        <v>551.60407099999998</v>
      </c>
      <c r="Y225" s="6">
        <v>30.446255099999998</v>
      </c>
      <c r="Z225" s="6">
        <v>19299</v>
      </c>
      <c r="AA225" s="6">
        <v>3945.2062700000001</v>
      </c>
      <c r="AB225" s="6">
        <v>2002.3217500000001</v>
      </c>
      <c r="AC225" s="6">
        <v>522.80202099999997</v>
      </c>
      <c r="AD225" s="6">
        <v>15.500622999999999</v>
      </c>
      <c r="AE225" s="6">
        <v>57.154772899999998</v>
      </c>
    </row>
    <row r="226" spans="1:31" ht="15.75" x14ac:dyDescent="0.25">
      <c r="A226" s="28">
        <v>41640</v>
      </c>
      <c r="B226" s="6">
        <v>17155.310192159999</v>
      </c>
      <c r="C226" s="6">
        <v>1216.62487179</v>
      </c>
      <c r="D226" s="6">
        <v>19130.357126999999</v>
      </c>
      <c r="E226" s="6">
        <v>8391.0979551</v>
      </c>
      <c r="F226" s="6">
        <v>184.71879593</v>
      </c>
      <c r="G226" s="6">
        <v>5748.4097180099998</v>
      </c>
      <c r="H226" s="6">
        <v>876.53733774000023</v>
      </c>
      <c r="I226" s="6">
        <v>1085.8691492000003</v>
      </c>
      <c r="J226" s="6">
        <v>133.53693423999994</v>
      </c>
      <c r="K226" s="6">
        <v>300</v>
      </c>
      <c r="L226">
        <v>650</v>
      </c>
      <c r="M226" s="6" t="s">
        <v>69</v>
      </c>
      <c r="N226" s="6">
        <v>2357.8988547500003</v>
      </c>
      <c r="O226" s="6">
        <v>265.90543439999999</v>
      </c>
      <c r="P226" s="6" t="s">
        <v>69</v>
      </c>
      <c r="Q226" s="6">
        <v>341.17069712</v>
      </c>
      <c r="R226" s="6">
        <v>256.28051720000002</v>
      </c>
      <c r="S226" s="6">
        <v>4004.9131153500002</v>
      </c>
      <c r="T226" s="6">
        <v>2497.1390130899999</v>
      </c>
      <c r="U226" s="6">
        <v>47.606512870000003</v>
      </c>
      <c r="V226" s="6">
        <v>4.5556199999999998E-3</v>
      </c>
      <c r="W226" s="6">
        <v>0.28299385999999999</v>
      </c>
      <c r="X226" s="6">
        <v>618.26830929000005</v>
      </c>
      <c r="Y226" s="6">
        <v>42.119487340000006</v>
      </c>
      <c r="Z226" s="6">
        <v>28124</v>
      </c>
      <c r="AA226" s="6">
        <v>5893.0691354800001</v>
      </c>
      <c r="AB226" s="6">
        <v>2929.4308180200001</v>
      </c>
      <c r="AC226" s="6">
        <v>646.47026612000002</v>
      </c>
      <c r="AD226" s="6">
        <v>15.788850650000001</v>
      </c>
      <c r="AE226" s="6">
        <v>97.21853376999978</v>
      </c>
    </row>
    <row r="227" spans="1:31" ht="15.75" x14ac:dyDescent="0.25">
      <c r="A227" s="28">
        <v>41671</v>
      </c>
      <c r="B227" s="6">
        <v>16816.012731169998</v>
      </c>
      <c r="C227" s="6">
        <v>1193.25582852</v>
      </c>
      <c r="D227" s="6">
        <v>17856.26041214</v>
      </c>
      <c r="E227" s="6">
        <v>7965.719346150001</v>
      </c>
      <c r="F227" s="6">
        <v>134.17264723</v>
      </c>
      <c r="G227" s="6">
        <v>5628.4304697099997</v>
      </c>
      <c r="H227" s="6">
        <v>891.76987783999994</v>
      </c>
      <c r="I227" s="6">
        <v>794.57187593999981</v>
      </c>
      <c r="J227" s="6">
        <v>144.73304004999994</v>
      </c>
      <c r="K227" s="6">
        <v>1150</v>
      </c>
      <c r="L227">
        <v>1056</v>
      </c>
      <c r="M227" s="6" t="s">
        <v>69</v>
      </c>
      <c r="N227" s="6">
        <v>4657.349077419999</v>
      </c>
      <c r="O227" s="6">
        <v>973.74704238000004</v>
      </c>
      <c r="P227" s="6" t="s">
        <v>69</v>
      </c>
      <c r="Q227" s="6">
        <v>304.62413080000005</v>
      </c>
      <c r="R227" s="6">
        <v>203.85234427999998</v>
      </c>
      <c r="S227" s="6">
        <v>3949.8636152899999</v>
      </c>
      <c r="T227" s="6">
        <v>2212.15147858</v>
      </c>
      <c r="U227" s="6">
        <v>44.753283000000003</v>
      </c>
      <c r="V227" s="6">
        <v>0.15219647</v>
      </c>
      <c r="W227" s="6">
        <v>0.13388008000000001</v>
      </c>
      <c r="X227" s="6">
        <v>616.92092420000006</v>
      </c>
      <c r="Y227" s="6">
        <v>43.507983649999993</v>
      </c>
      <c r="Z227" s="6">
        <v>21159.9</v>
      </c>
      <c r="AA227" s="6">
        <v>4395.9515009500001</v>
      </c>
      <c r="AB227" s="6">
        <v>2214.7122420599994</v>
      </c>
      <c r="AC227" s="6">
        <v>464.28771614000004</v>
      </c>
      <c r="AD227" s="6">
        <v>15.743703679999999</v>
      </c>
      <c r="AE227" s="6">
        <v>118.39824690999947</v>
      </c>
    </row>
    <row r="228" spans="1:31" ht="15.75" x14ac:dyDescent="0.25">
      <c r="A228" s="28">
        <v>41699</v>
      </c>
      <c r="B228" s="6">
        <v>13704.054145120001</v>
      </c>
      <c r="C228" s="6">
        <v>1234.9093537499998</v>
      </c>
      <c r="D228" s="6">
        <v>17192.052939970003</v>
      </c>
      <c r="E228" s="6">
        <v>8343.1084591599993</v>
      </c>
      <c r="F228" s="6">
        <v>143.97123132999999</v>
      </c>
      <c r="G228" s="6">
        <v>5258.7359671200002</v>
      </c>
      <c r="H228" s="6">
        <v>909.45701910000014</v>
      </c>
      <c r="I228" s="6">
        <v>699.51932887999999</v>
      </c>
      <c r="J228" s="6">
        <v>135.27610730999996</v>
      </c>
      <c r="K228" s="6">
        <v>5.8</v>
      </c>
      <c r="L228">
        <v>700</v>
      </c>
      <c r="M228" s="6" t="s">
        <v>69</v>
      </c>
      <c r="N228" s="6">
        <v>4022.4203937799998</v>
      </c>
      <c r="O228" s="6">
        <v>304.92049276</v>
      </c>
      <c r="P228" s="6" t="s">
        <v>69</v>
      </c>
      <c r="Q228" s="6">
        <v>314.10375754</v>
      </c>
      <c r="R228" s="6">
        <v>217.55717278999998</v>
      </c>
      <c r="S228" s="6">
        <v>5342.7242439900001</v>
      </c>
      <c r="T228" s="6">
        <v>2073.6582295499998</v>
      </c>
      <c r="U228" s="6">
        <v>42.293949850000004</v>
      </c>
      <c r="V228" s="6">
        <v>5.7387000000000009E-4</v>
      </c>
      <c r="W228" s="6">
        <v>1.3488661200000001</v>
      </c>
      <c r="X228" s="6">
        <v>617.64261513000019</v>
      </c>
      <c r="Y228" s="6">
        <v>41.376187780000002</v>
      </c>
      <c r="Z228" s="6">
        <v>20990.400000000001</v>
      </c>
      <c r="AA228" s="6">
        <v>4301.0724157700006</v>
      </c>
      <c r="AB228" s="6">
        <v>2244.8758466800004</v>
      </c>
      <c r="AC228" s="6">
        <v>631.71735153999998</v>
      </c>
      <c r="AD228" s="6">
        <v>2.0072652599999996</v>
      </c>
      <c r="AE228" s="6">
        <v>7.9861563600001011</v>
      </c>
    </row>
    <row r="229" spans="1:31" ht="15.75" x14ac:dyDescent="0.25">
      <c r="A229" s="28">
        <v>41730</v>
      </c>
      <c r="B229" s="6">
        <v>14285.270534629999</v>
      </c>
      <c r="C229" s="6">
        <v>1507.2949346299999</v>
      </c>
      <c r="D229" s="6">
        <v>17970.904830700005</v>
      </c>
      <c r="E229" s="6">
        <v>9545.4454962199998</v>
      </c>
      <c r="F229" s="6">
        <v>167.37230240999997</v>
      </c>
      <c r="G229" s="6">
        <v>5674.9167038099995</v>
      </c>
      <c r="H229" s="6">
        <v>846.04579882000019</v>
      </c>
      <c r="I229" s="6">
        <v>823.33020370000008</v>
      </c>
      <c r="J229" s="6">
        <v>133.21231494</v>
      </c>
      <c r="K229" s="6">
        <v>222.6</v>
      </c>
      <c r="L229">
        <v>1049.5999999999999</v>
      </c>
      <c r="M229" s="6" t="s">
        <v>69</v>
      </c>
      <c r="N229" s="6">
        <v>3723.292768029999</v>
      </c>
      <c r="O229" s="6">
        <v>688.08427877999998</v>
      </c>
      <c r="P229" s="6" t="s">
        <v>69</v>
      </c>
      <c r="Q229" s="6">
        <v>331.66618118999997</v>
      </c>
      <c r="R229" s="6">
        <v>249.53428000999995</v>
      </c>
      <c r="S229" s="6">
        <v>14513.931964849999</v>
      </c>
      <c r="T229" s="6">
        <v>2482.1029630599996</v>
      </c>
      <c r="U229" s="6">
        <v>49.055031480000004</v>
      </c>
      <c r="V229" s="6">
        <v>8.0860000000000003E-4</v>
      </c>
      <c r="W229" s="6">
        <v>1.9660611799999999</v>
      </c>
      <c r="X229" s="6">
        <v>675.24467419000007</v>
      </c>
      <c r="Y229" s="6">
        <v>39.756925639999999</v>
      </c>
      <c r="Z229" s="6">
        <v>22260.6</v>
      </c>
      <c r="AA229" s="6">
        <v>4508.0835087300011</v>
      </c>
      <c r="AB229" s="6">
        <v>2290.8371631</v>
      </c>
      <c r="AC229" s="6">
        <v>586.57390463000013</v>
      </c>
      <c r="AD229" s="6">
        <v>16.644020939999997</v>
      </c>
      <c r="AE229" s="6">
        <v>115.06367428999967</v>
      </c>
    </row>
    <row r="230" spans="1:31" ht="15.75" x14ac:dyDescent="0.25">
      <c r="A230" s="28">
        <v>41760</v>
      </c>
      <c r="B230" s="6">
        <v>27794.448777879996</v>
      </c>
      <c r="C230" s="6">
        <v>1455.1331669200001</v>
      </c>
      <c r="D230" s="6">
        <v>17416.02738666</v>
      </c>
      <c r="E230" s="6">
        <v>8557.8616259699993</v>
      </c>
      <c r="F230" s="6">
        <v>247.97193665</v>
      </c>
      <c r="G230" s="6">
        <v>6528.37221013</v>
      </c>
      <c r="H230" s="6">
        <v>944.70629492000023</v>
      </c>
      <c r="I230" s="6">
        <v>652.70446251999999</v>
      </c>
      <c r="J230" s="6">
        <v>150.02603685999998</v>
      </c>
      <c r="K230" s="6">
        <v>202.62299999999999</v>
      </c>
      <c r="L230">
        <v>879.7</v>
      </c>
      <c r="M230" s="6" t="s">
        <v>69</v>
      </c>
      <c r="N230" s="6">
        <v>4463.6177540299996</v>
      </c>
      <c r="O230" s="6">
        <v>3943.6595729599999</v>
      </c>
      <c r="P230" s="6" t="s">
        <v>69</v>
      </c>
      <c r="Q230" s="6">
        <v>341.78778558000005</v>
      </c>
      <c r="R230" s="6">
        <v>225.50822632999999</v>
      </c>
      <c r="S230" s="6">
        <v>8789.6200509199989</v>
      </c>
      <c r="T230" s="6">
        <v>2515.7710930100006</v>
      </c>
      <c r="U230" s="6">
        <v>48.506673599999999</v>
      </c>
      <c r="V230" s="6">
        <v>3.9489999999999996E-5</v>
      </c>
      <c r="W230" s="6">
        <v>1.2193406299999998</v>
      </c>
      <c r="X230" s="6">
        <v>634.82019908999996</v>
      </c>
      <c r="Y230" s="6">
        <v>36.230093389999993</v>
      </c>
      <c r="Z230" s="6">
        <v>22923.3</v>
      </c>
      <c r="AA230" s="6">
        <v>4661.3664060299998</v>
      </c>
      <c r="AB230" s="6">
        <v>2470.5590896400008</v>
      </c>
      <c r="AC230" s="6">
        <v>631.39460717000009</v>
      </c>
      <c r="AD230" s="6">
        <v>21.212697969999994</v>
      </c>
      <c r="AE230" s="6">
        <v>-53.838356029999879</v>
      </c>
    </row>
    <row r="231" spans="1:31" ht="15.75" x14ac:dyDescent="0.25">
      <c r="A231" s="28">
        <v>41791</v>
      </c>
      <c r="B231" s="6">
        <v>27959.954818959999</v>
      </c>
      <c r="C231" s="6">
        <v>1335.30430013</v>
      </c>
      <c r="D231" s="6">
        <v>16866.223071470002</v>
      </c>
      <c r="E231" s="6">
        <v>8678.0723195399987</v>
      </c>
      <c r="F231" s="6">
        <v>299.0564809</v>
      </c>
      <c r="G231" s="6">
        <v>6043.7268830599996</v>
      </c>
      <c r="H231" s="6">
        <v>1083.9286259400001</v>
      </c>
      <c r="I231" s="6">
        <v>620.09213940000006</v>
      </c>
      <c r="J231" s="6">
        <v>169.98554113999998</v>
      </c>
      <c r="K231" s="6">
        <v>176.8</v>
      </c>
      <c r="L231">
        <v>1020</v>
      </c>
      <c r="M231" s="6" t="s">
        <v>69</v>
      </c>
      <c r="N231" s="6">
        <v>5298.0117252599994</v>
      </c>
      <c r="O231" s="6">
        <v>1904.66045755</v>
      </c>
      <c r="P231" s="6" t="s">
        <v>69</v>
      </c>
      <c r="Q231" s="6">
        <v>339.27033496000001</v>
      </c>
      <c r="R231" s="6">
        <v>282.16968063999997</v>
      </c>
      <c r="S231" s="6">
        <v>8548.1021980599999</v>
      </c>
      <c r="T231" s="6">
        <v>2208.85778213</v>
      </c>
      <c r="U231" s="6">
        <v>43.827970829999998</v>
      </c>
      <c r="V231" s="6">
        <v>1.4341999999999998E-4</v>
      </c>
      <c r="W231" s="6">
        <v>2.3933625899999997</v>
      </c>
      <c r="X231" s="6">
        <v>613.55162709000012</v>
      </c>
      <c r="Y231" s="6">
        <v>38.191993140000008</v>
      </c>
      <c r="Z231" s="6">
        <v>22569</v>
      </c>
      <c r="AA231" s="6">
        <v>4635.5693955199995</v>
      </c>
      <c r="AB231" s="6">
        <v>2478.587746749999</v>
      </c>
      <c r="AC231" s="6">
        <v>592.21050536000007</v>
      </c>
      <c r="AD231" s="6">
        <v>22.492888660000002</v>
      </c>
      <c r="AE231" s="6">
        <v>52.735879249999456</v>
      </c>
    </row>
    <row r="232" spans="1:31" ht="15.75" x14ac:dyDescent="0.25">
      <c r="A232" s="28">
        <v>41821</v>
      </c>
      <c r="B232" s="6">
        <v>20526.886642450001</v>
      </c>
      <c r="C232" s="6">
        <v>1403.0858883899998</v>
      </c>
      <c r="D232" s="6">
        <v>19262.327773229998</v>
      </c>
      <c r="E232" s="6">
        <v>9137.3703620199994</v>
      </c>
      <c r="F232" s="6">
        <v>197.65231004999998</v>
      </c>
      <c r="G232" s="6">
        <v>6925.4735842800001</v>
      </c>
      <c r="H232" s="6">
        <v>1043.7460272800001</v>
      </c>
      <c r="I232" s="6">
        <v>599.80526654000005</v>
      </c>
      <c r="J232" s="6">
        <v>151.94370569</v>
      </c>
      <c r="K232" s="6">
        <v>400</v>
      </c>
      <c r="L232">
        <v>1300</v>
      </c>
      <c r="M232" s="6" t="s">
        <v>69</v>
      </c>
      <c r="N232" s="6">
        <v>5725.5217358499995</v>
      </c>
      <c r="O232" s="6">
        <v>1046.7548360799999</v>
      </c>
      <c r="P232" s="6" t="s">
        <v>69</v>
      </c>
      <c r="Q232" s="6">
        <v>376.91444403000003</v>
      </c>
      <c r="R232" s="6">
        <v>286.36252528</v>
      </c>
      <c r="S232" s="6">
        <v>9362.5738608299998</v>
      </c>
      <c r="T232" s="6">
        <v>2647.8803514400001</v>
      </c>
      <c r="U232" s="6">
        <v>50.998485030000005</v>
      </c>
      <c r="V232" s="6">
        <v>2.584E-5</v>
      </c>
      <c r="W232" s="6">
        <v>1.2768588299999999</v>
      </c>
      <c r="X232" s="6">
        <v>650.64368005999995</v>
      </c>
      <c r="Y232" s="6">
        <v>31.468092089999999</v>
      </c>
      <c r="Z232" s="6">
        <v>32369</v>
      </c>
      <c r="AA232" s="6">
        <v>6730.4282816000004</v>
      </c>
      <c r="AB232" s="6">
        <v>3477.416641920001</v>
      </c>
      <c r="AC232" s="6">
        <v>606.16417805000003</v>
      </c>
      <c r="AD232" s="6">
        <v>23.000801480000003</v>
      </c>
      <c r="AE232" s="6">
        <v>72.919301059999711</v>
      </c>
    </row>
    <row r="233" spans="1:31" ht="15.75" x14ac:dyDescent="0.25">
      <c r="A233" s="28">
        <v>41852</v>
      </c>
      <c r="B233" s="6">
        <v>21543.515855080001</v>
      </c>
      <c r="C233" s="6">
        <v>1272.3314154300001</v>
      </c>
      <c r="D233" s="6">
        <v>19981.237030709999</v>
      </c>
      <c r="E233" s="6">
        <v>8450.0662197399997</v>
      </c>
      <c r="F233" s="6">
        <v>77.734448330000021</v>
      </c>
      <c r="G233" s="6">
        <v>6796.0418778799994</v>
      </c>
      <c r="H233" s="6">
        <v>1084.8132253500003</v>
      </c>
      <c r="I233" s="6">
        <v>692.25829820999991</v>
      </c>
      <c r="J233" s="6">
        <v>183.68401733999997</v>
      </c>
      <c r="K233" s="6">
        <v>240</v>
      </c>
      <c r="L233">
        <v>0</v>
      </c>
      <c r="M233" s="6" t="s">
        <v>69</v>
      </c>
      <c r="N233" s="6">
        <v>6338.9383905200002</v>
      </c>
      <c r="O233" s="6">
        <v>1430.0842738400002</v>
      </c>
      <c r="P233" s="6" t="s">
        <v>69</v>
      </c>
      <c r="Q233" s="6">
        <v>349.41711185000003</v>
      </c>
      <c r="R233" s="6">
        <v>276.20689924999994</v>
      </c>
      <c r="S233" s="6">
        <v>6633.8285984200002</v>
      </c>
      <c r="T233" s="6">
        <v>2486.1295685300001</v>
      </c>
      <c r="U233" s="6">
        <v>48.199570379999997</v>
      </c>
      <c r="V233" s="6">
        <v>1.1833E-3</v>
      </c>
      <c r="W233" s="6">
        <v>1.6501499899999998</v>
      </c>
      <c r="X233" s="6">
        <v>627.58365864999996</v>
      </c>
      <c r="Y233" s="6">
        <v>34.582652499999995</v>
      </c>
      <c r="Z233" s="6">
        <v>24274.6</v>
      </c>
      <c r="AA233" s="6">
        <v>4911.2404683700015</v>
      </c>
      <c r="AB233" s="6">
        <v>2656.7471223899997</v>
      </c>
      <c r="AC233" s="6">
        <v>536.05067173999998</v>
      </c>
      <c r="AD233" s="6">
        <v>22.69849039</v>
      </c>
      <c r="AE233" s="6">
        <v>358.41901262000027</v>
      </c>
    </row>
    <row r="234" spans="1:31" ht="15.75" x14ac:dyDescent="0.25">
      <c r="A234" s="28">
        <v>41883</v>
      </c>
      <c r="B234" s="6">
        <v>20435.928198580001</v>
      </c>
      <c r="C234" s="6">
        <v>1387.2105538799999</v>
      </c>
      <c r="D234" s="6">
        <v>20455.222318249998</v>
      </c>
      <c r="E234" s="6">
        <v>9500.8161433500009</v>
      </c>
      <c r="F234" s="6">
        <v>222.75852395000001</v>
      </c>
      <c r="G234" s="6">
        <v>6731.7823574999993</v>
      </c>
      <c r="H234" s="6">
        <v>1202.3743001499997</v>
      </c>
      <c r="I234" s="6">
        <v>714.72488801999987</v>
      </c>
      <c r="J234" s="6">
        <v>181.80222417000002</v>
      </c>
      <c r="K234" s="6">
        <v>230</v>
      </c>
      <c r="L234">
        <v>1250</v>
      </c>
      <c r="M234" s="6" t="s">
        <v>69</v>
      </c>
      <c r="N234" s="6">
        <v>6689.8637565200006</v>
      </c>
      <c r="O234" s="6">
        <v>486.58963119999999</v>
      </c>
      <c r="P234" s="6" t="s">
        <v>69</v>
      </c>
      <c r="Q234" s="6">
        <v>374.44592133999998</v>
      </c>
      <c r="R234" s="6">
        <v>284.18151845</v>
      </c>
      <c r="S234" s="6">
        <v>5855.7246797199996</v>
      </c>
      <c r="T234" s="6">
        <v>2735.2920010399994</v>
      </c>
      <c r="U234" s="6">
        <v>53.199970929999978</v>
      </c>
      <c r="V234" s="6">
        <v>4.208104E-2</v>
      </c>
      <c r="W234" s="6">
        <v>7.0435870899999999</v>
      </c>
      <c r="X234" s="6">
        <v>696.15051462000019</v>
      </c>
      <c r="Y234" s="6">
        <v>50.674920670000006</v>
      </c>
      <c r="Z234" s="6">
        <v>24842.2</v>
      </c>
      <c r="AA234" s="6">
        <v>5286.7507663099996</v>
      </c>
      <c r="AB234" s="6">
        <v>2762.5414722699998</v>
      </c>
      <c r="AC234" s="6">
        <v>722.18268570999999</v>
      </c>
      <c r="AD234" s="6">
        <v>24.525857519999999</v>
      </c>
      <c r="AE234" s="6">
        <v>572.78944578999983</v>
      </c>
    </row>
    <row r="235" spans="1:31" ht="15.75" x14ac:dyDescent="0.25">
      <c r="A235" s="28">
        <v>41913</v>
      </c>
      <c r="B235" s="6">
        <v>22922.5</v>
      </c>
      <c r="C235" s="6">
        <v>1351.4</v>
      </c>
      <c r="D235" s="6">
        <v>20774.900000000001</v>
      </c>
      <c r="E235" s="6">
        <v>9364.9</v>
      </c>
      <c r="F235" s="6">
        <v>197</v>
      </c>
      <c r="G235" s="6">
        <v>6858.2</v>
      </c>
      <c r="H235" s="6">
        <v>1155.8717977399999</v>
      </c>
      <c r="I235" s="6">
        <v>936.77670429</v>
      </c>
      <c r="J235" s="6">
        <v>183.21377610000002</v>
      </c>
      <c r="K235" s="6">
        <v>900</v>
      </c>
      <c r="L235">
        <v>1000</v>
      </c>
      <c r="M235" s="6" t="s">
        <v>69</v>
      </c>
      <c r="N235" s="6">
        <v>6747.112890639999</v>
      </c>
      <c r="O235" s="6">
        <v>1439.6</v>
      </c>
      <c r="P235" s="6" t="s">
        <v>69</v>
      </c>
      <c r="Q235" s="6">
        <v>410.73853093999992</v>
      </c>
      <c r="R235" s="6">
        <v>352.47307064000006</v>
      </c>
      <c r="S235" s="6">
        <v>7378.1</v>
      </c>
      <c r="T235" s="6">
        <v>2836.4411061100004</v>
      </c>
      <c r="U235" s="6">
        <v>54.734143389999993</v>
      </c>
      <c r="V235" s="6">
        <v>9.9536399999999997E-2</v>
      </c>
      <c r="W235" s="6">
        <v>4.9854019699999998</v>
      </c>
      <c r="X235" s="6">
        <v>685.09523467999998</v>
      </c>
      <c r="Y235" s="6">
        <v>32.705311019999996</v>
      </c>
      <c r="Z235" s="6">
        <v>26018.1</v>
      </c>
      <c r="AA235" s="6">
        <v>5232.2365366300019</v>
      </c>
      <c r="AB235" s="6">
        <v>2796.4987112699996</v>
      </c>
      <c r="AC235" s="6">
        <v>868.0359130500002</v>
      </c>
      <c r="AD235" s="6">
        <v>24.295354560000003</v>
      </c>
      <c r="AE235" s="6">
        <v>104.62513592999996</v>
      </c>
    </row>
    <row r="236" spans="1:31" ht="15.75" x14ac:dyDescent="0.25">
      <c r="A236" s="28">
        <v>41944</v>
      </c>
      <c r="B236" s="6">
        <v>23537.983554869996</v>
      </c>
      <c r="C236" s="6">
        <v>1166.20431431</v>
      </c>
      <c r="D236" s="6">
        <v>21479.312638609998</v>
      </c>
      <c r="E236" s="6">
        <v>8776.3103803099984</v>
      </c>
      <c r="F236" s="6">
        <v>233.57920281000003</v>
      </c>
      <c r="G236" s="6">
        <v>7115.6136482500006</v>
      </c>
      <c r="H236" s="6">
        <v>1457.5163823800001</v>
      </c>
      <c r="I236" s="6">
        <v>896.45026752000001</v>
      </c>
      <c r="J236" s="6">
        <v>223.95456826999998</v>
      </c>
      <c r="K236" s="6">
        <v>492</v>
      </c>
      <c r="L236">
        <v>1510</v>
      </c>
      <c r="M236" s="6" t="s">
        <v>69</v>
      </c>
      <c r="N236" s="6">
        <v>7181.0930963800001</v>
      </c>
      <c r="O236" s="6">
        <v>434.16709290999995</v>
      </c>
      <c r="P236" s="6" t="s">
        <v>69</v>
      </c>
      <c r="Q236" s="6">
        <v>378.17599347999993</v>
      </c>
      <c r="R236" s="6">
        <v>329.44703513000002</v>
      </c>
      <c r="S236" s="6">
        <v>4617.8404123799992</v>
      </c>
      <c r="T236" s="6">
        <v>2392.5453641900003</v>
      </c>
      <c r="U236" s="6">
        <v>45.754530290000012</v>
      </c>
      <c r="V236" s="6">
        <v>5.1075760000000012E-2</v>
      </c>
      <c r="W236" s="6">
        <v>10.70758068</v>
      </c>
      <c r="X236" s="6">
        <v>579.74428072000001</v>
      </c>
      <c r="Y236" s="6">
        <v>34.867590489999998</v>
      </c>
      <c r="Z236" s="6">
        <v>26420</v>
      </c>
      <c r="AA236" s="6">
        <v>5228.4946283599975</v>
      </c>
      <c r="AB236" s="6">
        <v>2886.0063100100001</v>
      </c>
      <c r="AC236" s="6">
        <v>766.3754861299999</v>
      </c>
      <c r="AD236" s="6">
        <v>24.47557995999999</v>
      </c>
      <c r="AE236" s="6">
        <v>-169.25882166000017</v>
      </c>
    </row>
    <row r="237" spans="1:31" ht="15.75" x14ac:dyDescent="0.25">
      <c r="A237" s="28">
        <v>41974</v>
      </c>
      <c r="B237" s="6">
        <v>24683.872251860004</v>
      </c>
      <c r="C237" s="6">
        <v>1186.62416467</v>
      </c>
      <c r="D237" s="6">
        <v>22875.629807320001</v>
      </c>
      <c r="E237" s="6">
        <v>8254.6253408499997</v>
      </c>
      <c r="F237" s="6">
        <v>184.88067617999999</v>
      </c>
      <c r="G237" s="6">
        <v>7430.1418019199991</v>
      </c>
      <c r="H237" s="6">
        <v>1428.5863493499999</v>
      </c>
      <c r="I237" s="6">
        <v>978.33125269000004</v>
      </c>
      <c r="J237" s="6">
        <v>221.90333360000002</v>
      </c>
      <c r="K237" s="6">
        <v>703.2</v>
      </c>
      <c r="L237">
        <v>800</v>
      </c>
      <c r="M237" s="6" t="s">
        <v>69</v>
      </c>
      <c r="N237" s="6">
        <v>11208.944527889998</v>
      </c>
      <c r="O237" s="6">
        <v>1437.4850813100002</v>
      </c>
      <c r="P237" s="6" t="s">
        <v>69</v>
      </c>
      <c r="Q237" s="6">
        <v>396.97453167000009</v>
      </c>
      <c r="R237" s="6">
        <v>317.98768694999995</v>
      </c>
      <c r="S237" s="6">
        <v>5090.94287239</v>
      </c>
      <c r="T237" s="6">
        <v>2394.3036510700003</v>
      </c>
      <c r="U237" s="6">
        <v>47.245683749999998</v>
      </c>
      <c r="V237" s="6">
        <v>1.5771799999999999E-3</v>
      </c>
      <c r="W237" s="6">
        <v>7.1088343499999995</v>
      </c>
      <c r="X237" s="6">
        <v>598.98094371000002</v>
      </c>
      <c r="Y237" s="6">
        <v>28.203533739999997</v>
      </c>
      <c r="Z237" s="6">
        <v>26505.8</v>
      </c>
      <c r="AA237" s="6">
        <v>5361.1661185500006</v>
      </c>
      <c r="AB237" s="6">
        <v>3000.6744062500002</v>
      </c>
      <c r="AC237" s="6">
        <v>699.04917075000003</v>
      </c>
      <c r="AD237" s="6">
        <v>24.413837970000003</v>
      </c>
      <c r="AE237" s="6">
        <v>62.708735749999903</v>
      </c>
    </row>
    <row r="238" spans="1:31" ht="15.75" x14ac:dyDescent="0.25">
      <c r="A238" s="28">
        <v>42005</v>
      </c>
      <c r="B238" s="6">
        <v>24520.797358039999</v>
      </c>
      <c r="C238" s="6">
        <v>1354.20676037</v>
      </c>
      <c r="D238" s="6">
        <v>25912.418992999999</v>
      </c>
      <c r="E238" s="6">
        <v>9101.2175738000005</v>
      </c>
      <c r="F238" s="6">
        <v>158.16994885999998</v>
      </c>
      <c r="G238" s="6">
        <v>7266.3064879499998</v>
      </c>
      <c r="H238" s="6">
        <v>1341.6379036099997</v>
      </c>
      <c r="I238" s="6">
        <v>957.24352593000015</v>
      </c>
      <c r="J238" s="6">
        <v>199.22198946999998</v>
      </c>
      <c r="K238" s="6">
        <v>1468.9</v>
      </c>
      <c r="L238" s="6">
        <v>592</v>
      </c>
      <c r="M238" s="7" t="s">
        <v>69</v>
      </c>
      <c r="N238" s="6">
        <v>3199.2487556999995</v>
      </c>
      <c r="O238" s="6">
        <v>413.22824333</v>
      </c>
      <c r="P238" s="6" t="s">
        <v>69</v>
      </c>
      <c r="Q238" s="6">
        <v>408.83904971000004</v>
      </c>
      <c r="R238" s="6">
        <v>349.57179405000005</v>
      </c>
      <c r="S238" s="6">
        <v>4343.5586698500001</v>
      </c>
      <c r="T238" s="6">
        <v>2784.7651070400007</v>
      </c>
      <c r="U238" s="6">
        <v>54.14046161000001</v>
      </c>
      <c r="V238" s="6">
        <v>2.7739999999999999E-5</v>
      </c>
      <c r="W238" s="6">
        <v>0.54888443000000009</v>
      </c>
      <c r="X238" s="6">
        <v>621.2027916699999</v>
      </c>
      <c r="Y238" s="6">
        <v>29.366188270000002</v>
      </c>
      <c r="Z238" s="6">
        <v>37949.199999999997</v>
      </c>
      <c r="AA238" s="6">
        <v>7940.3508125699982</v>
      </c>
      <c r="AB238" s="6">
        <v>4418.59879843</v>
      </c>
      <c r="AC238" s="6">
        <v>823.01019694000001</v>
      </c>
      <c r="AD238" s="6">
        <v>25.201029159999997</v>
      </c>
      <c r="AE238" s="6">
        <v>288.36404562000041</v>
      </c>
    </row>
    <row r="239" spans="1:31" ht="15.75" x14ac:dyDescent="0.25">
      <c r="A239" s="28">
        <v>42036</v>
      </c>
      <c r="B239" s="6">
        <v>24009.384608550001</v>
      </c>
      <c r="C239" s="6">
        <v>1155.7116993299999</v>
      </c>
      <c r="D239" s="6">
        <v>23183.717834900002</v>
      </c>
      <c r="E239" s="6">
        <v>7864.4546926699995</v>
      </c>
      <c r="F239" s="6">
        <v>213.24275555</v>
      </c>
      <c r="G239" s="6">
        <v>6498.0997146099999</v>
      </c>
      <c r="H239" s="6">
        <v>1599.8766067899999</v>
      </c>
      <c r="I239" s="6">
        <v>839.77645529999995</v>
      </c>
      <c r="J239" s="6">
        <v>175.36855916000002</v>
      </c>
      <c r="K239" s="6">
        <v>35</v>
      </c>
      <c r="L239" s="6">
        <v>10</v>
      </c>
      <c r="M239" s="6" t="s">
        <v>69</v>
      </c>
      <c r="N239" s="6">
        <v>7063.0088660599995</v>
      </c>
      <c r="O239" s="6">
        <v>1357.8639635499999</v>
      </c>
      <c r="P239" s="6" t="s">
        <v>69</v>
      </c>
      <c r="Q239" s="6">
        <v>400.39267364999995</v>
      </c>
      <c r="R239" s="6">
        <v>272.75649420999997</v>
      </c>
      <c r="S239" s="6">
        <v>3373.7644692100002</v>
      </c>
      <c r="T239" s="6">
        <v>2222.2174770500001</v>
      </c>
      <c r="U239" s="6">
        <v>42.319760449999997</v>
      </c>
      <c r="V239" s="6">
        <v>2.5409999999999999E-5</v>
      </c>
      <c r="W239" s="6">
        <v>9.66817043</v>
      </c>
      <c r="X239" s="6">
        <v>537.74139004999995</v>
      </c>
      <c r="Y239" s="6">
        <v>38.178405430000005</v>
      </c>
      <c r="Z239" s="6">
        <v>28735.5</v>
      </c>
      <c r="AA239" s="6">
        <v>5874.7504964699992</v>
      </c>
      <c r="AB239" s="6">
        <v>3308.8535463500002</v>
      </c>
      <c r="AC239" s="6">
        <v>765.05485164999982</v>
      </c>
      <c r="AD239" s="6">
        <v>27.826188990000002</v>
      </c>
      <c r="AE239" s="6">
        <v>89.413802670000052</v>
      </c>
    </row>
    <row r="240" spans="1:31" ht="15.75" x14ac:dyDescent="0.25">
      <c r="A240" s="28">
        <v>42064</v>
      </c>
      <c r="B240" s="6">
        <v>19581.408667099997</v>
      </c>
      <c r="C240" s="6">
        <v>1357.6133991000002</v>
      </c>
      <c r="D240" s="6">
        <v>24138.139446530004</v>
      </c>
      <c r="E240" s="6">
        <v>9770.8667535900004</v>
      </c>
      <c r="F240" s="6">
        <v>166.46174831000002</v>
      </c>
      <c r="G240" s="6">
        <v>6876.0075224500006</v>
      </c>
      <c r="H240" s="6">
        <v>1475.1474505199999</v>
      </c>
      <c r="I240" s="6">
        <v>842.22101834999989</v>
      </c>
      <c r="J240" s="6">
        <v>231.21283453999999</v>
      </c>
      <c r="K240" s="6">
        <v>2.5</v>
      </c>
      <c r="L240" s="6">
        <v>1</v>
      </c>
      <c r="M240" s="6" t="s">
        <v>69</v>
      </c>
      <c r="N240" s="6">
        <v>5446.9620640199992</v>
      </c>
      <c r="O240" s="6">
        <v>450.65301247999997</v>
      </c>
      <c r="P240" s="6" t="s">
        <v>69</v>
      </c>
      <c r="Q240" s="6">
        <v>440.20807701000001</v>
      </c>
      <c r="R240" s="6">
        <v>305.41557555999998</v>
      </c>
      <c r="S240" s="6">
        <v>4659.8973755000006</v>
      </c>
      <c r="T240" s="6">
        <v>2736.78224069</v>
      </c>
      <c r="U240" s="6">
        <v>56.506405359999995</v>
      </c>
      <c r="V240" s="6">
        <v>3.2676999999999999E-4</v>
      </c>
      <c r="W240" s="6">
        <v>9.2480237300000017</v>
      </c>
      <c r="X240" s="6">
        <v>680.92235718000006</v>
      </c>
      <c r="Y240" s="6">
        <v>40.661039949999989</v>
      </c>
      <c r="Z240" s="6">
        <v>29885.4</v>
      </c>
      <c r="AA240" s="6">
        <v>5953.0513929700001</v>
      </c>
      <c r="AB240" s="6">
        <v>3447.8533832899993</v>
      </c>
      <c r="AC240" s="6">
        <v>735.23702271999991</v>
      </c>
      <c r="AD240" s="6">
        <v>27.472487700000002</v>
      </c>
      <c r="AE240" s="6">
        <v>269.39167238999966</v>
      </c>
    </row>
    <row r="241" spans="1:31" ht="15.75" x14ac:dyDescent="0.25">
      <c r="A241" s="28">
        <v>42095</v>
      </c>
      <c r="B241" s="6">
        <v>20028.084048520002</v>
      </c>
      <c r="C241" s="6">
        <v>1297.07304957</v>
      </c>
      <c r="D241" s="6">
        <v>25226.00282967</v>
      </c>
      <c r="E241" s="6">
        <v>8375.6666989000005</v>
      </c>
      <c r="F241" s="6">
        <v>166.33165507999999</v>
      </c>
      <c r="G241" s="6">
        <v>7665.9073389700015</v>
      </c>
      <c r="H241" s="6">
        <v>1441.1096671099995</v>
      </c>
      <c r="I241" s="6">
        <v>960.20541147000006</v>
      </c>
      <c r="J241" s="6">
        <v>211.65710622000003</v>
      </c>
      <c r="K241" s="6">
        <v>12</v>
      </c>
      <c r="L241" s="6">
        <v>1350</v>
      </c>
      <c r="M241" s="6" t="s">
        <v>69</v>
      </c>
      <c r="N241" s="6">
        <v>7355.8609374700009</v>
      </c>
      <c r="O241" s="6">
        <v>865.37226608000003</v>
      </c>
      <c r="P241" s="6" t="s">
        <v>69</v>
      </c>
      <c r="Q241" s="6">
        <v>441.10564942999991</v>
      </c>
      <c r="R241" s="6">
        <v>313.84199138999998</v>
      </c>
      <c r="S241" s="6">
        <v>9290.2241451000009</v>
      </c>
      <c r="T241" s="6">
        <v>2197.4183425799997</v>
      </c>
      <c r="U241" s="6">
        <v>42.769737719999995</v>
      </c>
      <c r="V241" s="6">
        <v>1.0493999999999998E-3</v>
      </c>
      <c r="W241" s="6">
        <v>0.8624780700000001</v>
      </c>
      <c r="X241" s="6">
        <v>585.06541908999998</v>
      </c>
      <c r="Y241" s="6">
        <v>44.587643350000008</v>
      </c>
      <c r="Z241" s="6">
        <v>29602</v>
      </c>
      <c r="AA241" s="6">
        <v>6129.2916420499987</v>
      </c>
      <c r="AB241" s="6">
        <v>3492.7555992100006</v>
      </c>
      <c r="AC241" s="6">
        <v>907.05737244999978</v>
      </c>
      <c r="AD241" s="6">
        <v>32.093922319999997</v>
      </c>
      <c r="AE241" s="6">
        <v>15.610211689999174</v>
      </c>
    </row>
    <row r="242" spans="1:31" ht="15.75" x14ac:dyDescent="0.25">
      <c r="A242" s="28">
        <v>42125</v>
      </c>
      <c r="B242" s="6">
        <v>43386.314837680002</v>
      </c>
      <c r="C242" s="6">
        <v>1532.36988787</v>
      </c>
      <c r="D242" s="6">
        <v>23482.044088500003</v>
      </c>
      <c r="E242" s="6">
        <v>9621.1616394499997</v>
      </c>
      <c r="F242" s="6">
        <v>327.07713746999997</v>
      </c>
      <c r="G242" s="6">
        <v>8171.807036690001</v>
      </c>
      <c r="H242" s="6">
        <v>1539.7392297299998</v>
      </c>
      <c r="I242" s="6">
        <v>796.34865191000006</v>
      </c>
      <c r="J242" s="6">
        <v>243.26336686000002</v>
      </c>
      <c r="K242" s="6">
        <v>655</v>
      </c>
      <c r="L242" s="6">
        <v>1750</v>
      </c>
      <c r="M242" s="7" t="s">
        <v>69</v>
      </c>
      <c r="N242" s="6">
        <v>8767.964665630001</v>
      </c>
      <c r="O242" s="6">
        <v>4705.5298430700004</v>
      </c>
      <c r="P242" s="6" t="s">
        <v>69</v>
      </c>
      <c r="Q242" s="6">
        <v>439.36321718000005</v>
      </c>
      <c r="R242" s="6">
        <v>371.57292891999998</v>
      </c>
      <c r="S242" s="6">
        <v>7951.1593842599996</v>
      </c>
      <c r="T242" s="6">
        <v>2816.2356418199997</v>
      </c>
      <c r="U242" s="6">
        <v>55.826832029999998</v>
      </c>
      <c r="V242" s="6">
        <v>2.853E-5</v>
      </c>
      <c r="W242" s="6">
        <v>1.2271939300000001</v>
      </c>
      <c r="X242" s="6">
        <v>684.2364226599999</v>
      </c>
      <c r="Y242" s="6">
        <v>52.069331749999996</v>
      </c>
      <c r="Z242" s="6">
        <v>30103.1</v>
      </c>
      <c r="AA242" s="6">
        <v>5939.4176638600011</v>
      </c>
      <c r="AB242" s="6">
        <v>3488.1774402899991</v>
      </c>
      <c r="AC242" s="6">
        <v>803.85230939000007</v>
      </c>
      <c r="AD242" s="6">
        <v>25.748574009999999</v>
      </c>
      <c r="AE242" s="6">
        <v>-144.29571371000114</v>
      </c>
    </row>
    <row r="243" spans="1:31" ht="15.75" x14ac:dyDescent="0.25">
      <c r="A243" s="28">
        <v>42156</v>
      </c>
      <c r="B243" s="6">
        <v>41483.74065996</v>
      </c>
      <c r="C243" s="6">
        <v>1566.4399496599999</v>
      </c>
      <c r="D243" s="6">
        <v>24106.956597710003</v>
      </c>
      <c r="E243" s="6">
        <v>10447.09549215</v>
      </c>
      <c r="F243" s="6">
        <v>181.71038581999997</v>
      </c>
      <c r="G243" s="6">
        <v>7756.1584882900006</v>
      </c>
      <c r="H243" s="6">
        <v>1587.8105838899999</v>
      </c>
      <c r="I243" s="6">
        <v>796.45774016000007</v>
      </c>
      <c r="J243" s="6">
        <v>245.04013829000007</v>
      </c>
      <c r="K243" s="6">
        <v>501.7</v>
      </c>
      <c r="L243" s="6">
        <v>1200</v>
      </c>
      <c r="M243" s="6" t="s">
        <v>69</v>
      </c>
      <c r="N243" s="6">
        <v>9222.4970101800009</v>
      </c>
      <c r="O243" s="6">
        <v>2445.6976493100001</v>
      </c>
      <c r="P243" s="6" t="s">
        <v>69</v>
      </c>
      <c r="Q243" s="6">
        <v>479.40728188000003</v>
      </c>
      <c r="R243" s="6">
        <v>372.13462675999995</v>
      </c>
      <c r="S243" s="6">
        <v>10412.379247540001</v>
      </c>
      <c r="T243" s="6">
        <v>2822.5027382999997</v>
      </c>
      <c r="U243" s="6">
        <v>57.007082590000003</v>
      </c>
      <c r="V243" s="6">
        <v>2.5409999999999999E-5</v>
      </c>
      <c r="W243" s="6">
        <v>3.1315499400000002</v>
      </c>
      <c r="X243" s="6">
        <v>760.87619210000003</v>
      </c>
      <c r="Y243" s="6">
        <v>50.806455849999999</v>
      </c>
      <c r="Z243" s="6">
        <v>31159.9</v>
      </c>
      <c r="AA243" s="6">
        <v>6245.947213149997</v>
      </c>
      <c r="AB243" s="6">
        <v>3752.2924552300005</v>
      </c>
      <c r="AC243" s="6">
        <v>851.6325982599999</v>
      </c>
      <c r="AD243" s="6">
        <v>27.826000359999991</v>
      </c>
      <c r="AE243" s="6">
        <v>911.71127976999901</v>
      </c>
    </row>
    <row r="244" spans="1:31" ht="15.75" x14ac:dyDescent="0.25">
      <c r="A244" s="28">
        <v>42186</v>
      </c>
      <c r="B244" s="6">
        <v>31736.80424881</v>
      </c>
      <c r="C244" s="6">
        <v>1595.9375057999998</v>
      </c>
      <c r="D244" s="6">
        <v>25362.928645089996</v>
      </c>
      <c r="E244" s="6">
        <v>11055.470950819999</v>
      </c>
      <c r="F244" s="6">
        <v>193.91610451</v>
      </c>
      <c r="G244" s="6">
        <v>8827.5922315299995</v>
      </c>
      <c r="H244" s="6">
        <v>1450.3764507799999</v>
      </c>
      <c r="I244" s="6">
        <v>970.16776143000004</v>
      </c>
      <c r="J244" s="6">
        <v>230.93147124000001</v>
      </c>
      <c r="K244" s="6">
        <v>507.3</v>
      </c>
      <c r="L244" s="6">
        <v>1500</v>
      </c>
      <c r="M244" s="6" t="s">
        <v>69</v>
      </c>
      <c r="N244" s="6">
        <v>7901.3054846799987</v>
      </c>
      <c r="O244" s="6">
        <v>1391.3227899599999</v>
      </c>
      <c r="P244" s="6" t="s">
        <v>69</v>
      </c>
      <c r="Q244" s="6">
        <v>512.79828602999999</v>
      </c>
      <c r="R244" s="6">
        <v>420.58671899999996</v>
      </c>
      <c r="S244" s="6">
        <v>10756.07410949</v>
      </c>
      <c r="T244" s="6">
        <v>3176.3004738399995</v>
      </c>
      <c r="U244" s="6">
        <v>64.807989710000001</v>
      </c>
      <c r="V244" s="6">
        <v>2.5409999999999999E-5</v>
      </c>
      <c r="W244" s="6">
        <v>0.60103495000000007</v>
      </c>
      <c r="X244" s="6">
        <v>799.97948355000028</v>
      </c>
      <c r="Y244" s="6">
        <v>41.673006149999999</v>
      </c>
      <c r="Z244" s="6">
        <v>45184.9</v>
      </c>
      <c r="AA244" s="6">
        <v>9262.0799089799984</v>
      </c>
      <c r="AB244" s="6">
        <v>5245.4698655600005</v>
      </c>
      <c r="AC244" s="6">
        <v>987.66562697999984</v>
      </c>
      <c r="AD244" s="6">
        <v>27.844910789999997</v>
      </c>
      <c r="AE244" s="6">
        <v>148.71192404000001</v>
      </c>
    </row>
    <row r="245" spans="1:31" ht="15.75" x14ac:dyDescent="0.25">
      <c r="A245" s="28">
        <v>42217</v>
      </c>
      <c r="B245" s="6">
        <v>30732.876559349999</v>
      </c>
      <c r="C245" s="6">
        <v>1591.2457084099997</v>
      </c>
      <c r="D245" s="6">
        <v>28460.703237720001</v>
      </c>
      <c r="E245" s="6">
        <v>11085.44950948</v>
      </c>
      <c r="F245" s="6">
        <v>216.00628728000001</v>
      </c>
      <c r="G245" s="6">
        <v>8186.6857569299991</v>
      </c>
      <c r="H245" s="6">
        <v>1744.6552743000002</v>
      </c>
      <c r="I245" s="6">
        <v>964.19981818999986</v>
      </c>
      <c r="J245" s="6">
        <v>266.77399436000002</v>
      </c>
      <c r="K245" s="6">
        <v>311.2</v>
      </c>
      <c r="L245" s="6">
        <v>850</v>
      </c>
      <c r="M245" s="6" t="s">
        <v>69</v>
      </c>
      <c r="N245" s="6">
        <v>8297.8213413900012</v>
      </c>
      <c r="O245" s="6">
        <v>1843.5998912599998</v>
      </c>
      <c r="P245" s="6" t="s">
        <v>69</v>
      </c>
      <c r="Q245" s="6">
        <v>485.34011447</v>
      </c>
      <c r="R245" s="6">
        <v>443.28103233000002</v>
      </c>
      <c r="S245" s="6">
        <v>6592.4937561100005</v>
      </c>
      <c r="T245" s="6">
        <v>3022.4078115599996</v>
      </c>
      <c r="U245" s="6">
        <v>62.370577690000005</v>
      </c>
      <c r="V245" s="6">
        <v>4.7196499999999997E-3</v>
      </c>
      <c r="W245" s="6">
        <v>1.1850968200000003</v>
      </c>
      <c r="X245" s="6">
        <v>795.10341099000004</v>
      </c>
      <c r="Y245" s="6">
        <v>43.367035950000002</v>
      </c>
      <c r="Z245" s="6">
        <v>33403.599999999999</v>
      </c>
      <c r="AA245" s="6">
        <v>6744.6658018099988</v>
      </c>
      <c r="AB245" s="6">
        <v>4072.0705447699997</v>
      </c>
      <c r="AC245" s="6">
        <v>988.38108202000001</v>
      </c>
      <c r="AD245" s="6">
        <v>28.073414659999997</v>
      </c>
      <c r="AE245" s="6">
        <v>-159.09926042000026</v>
      </c>
    </row>
    <row r="246" spans="1:31" ht="15.75" x14ac:dyDescent="0.25">
      <c r="A246" s="28">
        <v>42248</v>
      </c>
      <c r="B246" s="6">
        <v>28681.96195483</v>
      </c>
      <c r="C246" s="6">
        <v>1618.6461233800001</v>
      </c>
      <c r="D246" s="6">
        <v>28261.503595270002</v>
      </c>
      <c r="E246" s="6">
        <v>10660.251843679998</v>
      </c>
      <c r="F246" s="6">
        <v>214.11262161999997</v>
      </c>
      <c r="G246" s="6">
        <v>8741.7756829000009</v>
      </c>
      <c r="H246" s="6">
        <v>1601.9128426199998</v>
      </c>
      <c r="I246" s="6">
        <v>945.26959188000023</v>
      </c>
      <c r="J246" s="6">
        <v>252.24408628999996</v>
      </c>
      <c r="K246" s="6">
        <v>2.5</v>
      </c>
      <c r="L246" s="6">
        <v>26</v>
      </c>
      <c r="M246" s="6" t="s">
        <v>69</v>
      </c>
      <c r="N246" s="6">
        <v>7059.8917873799992</v>
      </c>
      <c r="O246" s="6">
        <v>633.38599378000004</v>
      </c>
      <c r="P246" s="6" t="s">
        <v>69</v>
      </c>
      <c r="Q246" s="6">
        <v>494.33056892000002</v>
      </c>
      <c r="R246" s="6">
        <v>412.43247066000004</v>
      </c>
      <c r="S246" s="6">
        <v>4716.0977099699994</v>
      </c>
      <c r="T246" s="6">
        <v>3099.4336697799995</v>
      </c>
      <c r="U246" s="6">
        <v>60.122780980000002</v>
      </c>
      <c r="V246" s="6">
        <v>2.7604500000000002E-3</v>
      </c>
      <c r="W246" s="6">
        <v>1.0453207899999994</v>
      </c>
      <c r="X246" s="6">
        <v>793.76662635000002</v>
      </c>
      <c r="Y246" s="6">
        <v>43.328899230000012</v>
      </c>
      <c r="Z246" s="6">
        <v>33826.9</v>
      </c>
      <c r="AA246" s="6">
        <v>6765.4331125000026</v>
      </c>
      <c r="AB246" s="6">
        <v>4066.3476697000001</v>
      </c>
      <c r="AC246" s="6">
        <v>1044.9261583100001</v>
      </c>
      <c r="AD246" s="6">
        <v>28.14454125</v>
      </c>
      <c r="AE246" s="6">
        <v>264.21433459999918</v>
      </c>
    </row>
    <row r="247" spans="1:31" ht="15.75" x14ac:dyDescent="0.25">
      <c r="A247" s="28">
        <v>42278</v>
      </c>
      <c r="B247" s="6">
        <v>31384.338607049998</v>
      </c>
      <c r="C247" s="6">
        <v>1649.1859237900001</v>
      </c>
      <c r="D247" s="6">
        <v>28745.09194731</v>
      </c>
      <c r="E247" s="6">
        <v>10838.44942787</v>
      </c>
      <c r="F247" s="6">
        <v>235.23003080000001</v>
      </c>
      <c r="G247" s="6">
        <v>8776.2020258100001</v>
      </c>
      <c r="H247" s="6">
        <v>1710.2619767799997</v>
      </c>
      <c r="I247" s="6">
        <v>1201.3531437300001</v>
      </c>
      <c r="J247" s="6">
        <v>261.72534939999997</v>
      </c>
      <c r="K247" s="6">
        <v>657</v>
      </c>
      <c r="L247" s="6">
        <v>0</v>
      </c>
      <c r="M247" s="6" t="s">
        <v>69</v>
      </c>
      <c r="N247" s="6">
        <v>7390.0924554200001</v>
      </c>
      <c r="O247" s="6">
        <v>1760.6647309699999</v>
      </c>
      <c r="P247" s="6" t="s">
        <v>69</v>
      </c>
      <c r="Q247" s="6">
        <v>512.78129159000002</v>
      </c>
      <c r="R247" s="6">
        <v>403.88528532000004</v>
      </c>
      <c r="S247" s="6">
        <v>5522.4476951500001</v>
      </c>
      <c r="T247" s="6">
        <v>3185.6749519399996</v>
      </c>
      <c r="U247" s="6">
        <v>63.800101229999989</v>
      </c>
      <c r="V247" s="6">
        <v>1.41634964</v>
      </c>
      <c r="W247" s="6">
        <v>1.5688488199999999</v>
      </c>
      <c r="X247" s="6">
        <v>819.64464989999999</v>
      </c>
      <c r="Y247" s="6">
        <v>50.387845279999993</v>
      </c>
      <c r="Z247" s="6">
        <v>34450.199999999997</v>
      </c>
      <c r="AA247" s="6">
        <v>6860.3872441799986</v>
      </c>
      <c r="AB247" s="6">
        <v>4148.9454579399999</v>
      </c>
      <c r="AC247" s="6">
        <v>927.67844301000002</v>
      </c>
      <c r="AD247" s="6">
        <v>28.546326080000004</v>
      </c>
      <c r="AE247" s="6">
        <v>-111.4030272800005</v>
      </c>
    </row>
    <row r="248" spans="1:31" ht="15.75" x14ac:dyDescent="0.25">
      <c r="A248" s="28">
        <v>42309</v>
      </c>
      <c r="B248" s="6">
        <v>31457</v>
      </c>
      <c r="C248" s="6">
        <v>1566.2</v>
      </c>
      <c r="D248" s="6">
        <v>29144.7</v>
      </c>
      <c r="E248" s="6">
        <v>10353.200000000001</v>
      </c>
      <c r="F248" s="6">
        <v>205</v>
      </c>
      <c r="G248" s="6">
        <v>8664.2999999999993</v>
      </c>
      <c r="H248" s="6">
        <v>1889.3465518800001</v>
      </c>
      <c r="I248" s="6">
        <v>1039.4122696600002</v>
      </c>
      <c r="J248" s="6">
        <v>307.14713232999998</v>
      </c>
      <c r="K248" s="6">
        <v>603.29999999999995</v>
      </c>
      <c r="L248" s="6">
        <v>500</v>
      </c>
      <c r="M248" s="6" t="s">
        <v>69</v>
      </c>
      <c r="N248" s="6">
        <v>7423.2158095599998</v>
      </c>
      <c r="O248" s="6">
        <v>564.5</v>
      </c>
      <c r="P248" s="6" t="s">
        <v>69</v>
      </c>
      <c r="Q248" s="6">
        <v>491.09695263000003</v>
      </c>
      <c r="R248" s="6">
        <v>456.89536466999994</v>
      </c>
      <c r="S248" s="6">
        <v>3312.8</v>
      </c>
      <c r="T248" s="6">
        <v>3097.8794888700004</v>
      </c>
      <c r="U248" s="6">
        <v>59.950194800000006</v>
      </c>
      <c r="V248" s="6">
        <v>2.5409999999999999E-5</v>
      </c>
      <c r="W248" s="6">
        <v>4.1643563400000003</v>
      </c>
      <c r="X248" s="6">
        <v>764.5923563099999</v>
      </c>
      <c r="Y248" s="6">
        <v>48.89148793999999</v>
      </c>
      <c r="Z248" s="6">
        <v>34269.800000000003</v>
      </c>
      <c r="AA248" s="6">
        <v>6904.8862778000012</v>
      </c>
      <c r="AB248" s="6">
        <v>4078.5225484200009</v>
      </c>
      <c r="AC248" s="6">
        <v>1092.43518948</v>
      </c>
      <c r="AD248" s="6">
        <v>22.101769740000002</v>
      </c>
      <c r="AE248" s="6">
        <v>-811.77973966000093</v>
      </c>
    </row>
    <row r="249" spans="1:31" ht="15.75" x14ac:dyDescent="0.25">
      <c r="A249" s="28">
        <v>42339</v>
      </c>
      <c r="B249" s="6">
        <v>36329.58379063</v>
      </c>
      <c r="C249" s="6">
        <v>1846.3192274600001</v>
      </c>
      <c r="D249" s="6">
        <v>30312.191720980001</v>
      </c>
      <c r="E249" s="6">
        <v>12990.032920329999</v>
      </c>
      <c r="F249" s="6">
        <v>236.07333424999999</v>
      </c>
      <c r="G249" s="6">
        <v>10048.717600579999</v>
      </c>
      <c r="H249" s="6">
        <v>2115.1878858399996</v>
      </c>
      <c r="I249" s="6">
        <v>1205.0584990500001</v>
      </c>
      <c r="J249" s="6">
        <v>315.84668806999997</v>
      </c>
      <c r="K249" s="6">
        <v>667</v>
      </c>
      <c r="L249" s="6">
        <v>1052</v>
      </c>
      <c r="M249" s="6" t="s">
        <v>69</v>
      </c>
      <c r="N249" s="6">
        <v>8375.0732143699988</v>
      </c>
      <c r="O249" s="6">
        <v>1778.59355478</v>
      </c>
      <c r="P249" s="6" t="s">
        <v>69</v>
      </c>
      <c r="Q249" s="6">
        <v>518.46253829</v>
      </c>
      <c r="R249" s="6">
        <v>477.94975387</v>
      </c>
      <c r="S249" s="6">
        <v>5008.3533183599993</v>
      </c>
      <c r="T249" s="6">
        <v>3660.0538835100006</v>
      </c>
      <c r="U249" s="6">
        <v>71.022534739999998</v>
      </c>
      <c r="V249" s="6">
        <v>1.5654039999999998E-2</v>
      </c>
      <c r="W249" s="6">
        <v>1.9439658800000006</v>
      </c>
      <c r="X249" s="6">
        <v>914.01864282999998</v>
      </c>
      <c r="Y249" s="6">
        <v>53.522522519999995</v>
      </c>
      <c r="Z249" s="6">
        <v>34975.199999999997</v>
      </c>
      <c r="AA249" s="6">
        <v>7132.3607989299999</v>
      </c>
      <c r="AB249" s="6">
        <v>4254.9195188700005</v>
      </c>
      <c r="AC249" s="6">
        <v>1162.6580760500003</v>
      </c>
      <c r="AD249" s="6">
        <v>27.683318960000001</v>
      </c>
      <c r="AE249" s="6">
        <v>545.39914252999938</v>
      </c>
    </row>
    <row r="250" spans="1:31" ht="15.75" x14ac:dyDescent="0.25">
      <c r="A250" s="28">
        <v>42370</v>
      </c>
      <c r="B250" s="6">
        <v>38578.362944130007</v>
      </c>
      <c r="C250" s="6">
        <v>2046.7328929800001</v>
      </c>
      <c r="D250" s="6">
        <v>32252.314934659997</v>
      </c>
      <c r="E250" s="6">
        <v>13551.908827599998</v>
      </c>
      <c r="F250" s="6">
        <v>210.49932915999997</v>
      </c>
      <c r="G250" s="6">
        <v>9609.6687638799995</v>
      </c>
      <c r="H250" s="6">
        <v>1974.0598537499995</v>
      </c>
      <c r="I250" s="6">
        <v>1340.99109806</v>
      </c>
      <c r="J250" s="6">
        <v>297.97260848999997</v>
      </c>
      <c r="K250" s="6">
        <v>142</v>
      </c>
      <c r="L250" s="6">
        <v>719</v>
      </c>
      <c r="M250" s="6" t="s">
        <v>69</v>
      </c>
      <c r="N250" s="6">
        <v>4675.1073598399998</v>
      </c>
      <c r="O250" s="6">
        <v>409.65760193999995</v>
      </c>
      <c r="P250" s="6" t="s">
        <v>69</v>
      </c>
      <c r="Q250" s="6">
        <v>499.07196318000001</v>
      </c>
      <c r="R250" s="6">
        <v>466.67038679999996</v>
      </c>
      <c r="S250" s="6">
        <v>4858.6638799599996</v>
      </c>
      <c r="T250" s="6">
        <v>3861.8653006300001</v>
      </c>
      <c r="U250" s="6">
        <v>74.626315930000018</v>
      </c>
      <c r="V250" s="6">
        <v>0.27436675000000005</v>
      </c>
      <c r="W250" s="6">
        <v>1.71741129</v>
      </c>
      <c r="X250" s="6">
        <v>952.13297325000008</v>
      </c>
      <c r="Y250" s="6">
        <v>45.798645139999991</v>
      </c>
      <c r="Z250" s="6">
        <v>49643</v>
      </c>
      <c r="AA250" s="6">
        <v>10387.917985710001</v>
      </c>
      <c r="AB250" s="6">
        <v>5989.2921626099987</v>
      </c>
      <c r="AC250" s="6">
        <v>798.29165411999986</v>
      </c>
      <c r="AD250" s="6">
        <v>27.272131660000003</v>
      </c>
      <c r="AE250" s="6">
        <v>124.3872451</v>
      </c>
    </row>
    <row r="251" spans="1:31" ht="15.75" x14ac:dyDescent="0.25">
      <c r="A251" s="28">
        <v>42401</v>
      </c>
      <c r="B251" s="6">
        <v>28294.165120319998</v>
      </c>
      <c r="C251" s="6">
        <v>2104.5167330599998</v>
      </c>
      <c r="D251" s="6">
        <v>28326.959233350004</v>
      </c>
      <c r="E251" s="6">
        <v>13379.80096135</v>
      </c>
      <c r="F251" s="6">
        <v>192.10013308999999</v>
      </c>
      <c r="G251" s="6">
        <v>8751.4556952399998</v>
      </c>
      <c r="H251" s="6">
        <v>1815.7165694399998</v>
      </c>
      <c r="I251" s="6">
        <v>1197.4876478400001</v>
      </c>
      <c r="J251" s="6">
        <v>287.70154809000007</v>
      </c>
      <c r="K251" s="6">
        <v>59</v>
      </c>
      <c r="L251" s="6">
        <v>526</v>
      </c>
      <c r="M251" s="6" t="s">
        <v>69</v>
      </c>
      <c r="N251" s="6">
        <v>7823.0039924300008</v>
      </c>
      <c r="O251" s="6">
        <v>1477.08498685</v>
      </c>
      <c r="P251" s="6" t="s">
        <v>69</v>
      </c>
      <c r="Q251" s="6">
        <v>530.59681954000007</v>
      </c>
      <c r="R251" s="6">
        <v>378.62819283999994</v>
      </c>
      <c r="S251" s="6">
        <v>3509.8786815400003</v>
      </c>
      <c r="T251" s="6">
        <v>3700.8001738299999</v>
      </c>
      <c r="U251" s="6">
        <v>73.434404170000008</v>
      </c>
      <c r="V251" s="6">
        <v>3.557E-5</v>
      </c>
      <c r="W251" s="6">
        <v>3.1082021799999997</v>
      </c>
      <c r="X251" s="6">
        <v>987.16278862000013</v>
      </c>
      <c r="Y251" s="6">
        <v>48.360509750000006</v>
      </c>
      <c r="Z251" s="6">
        <v>36453.800000000003</v>
      </c>
      <c r="AA251" s="6">
        <v>7971.7239118899988</v>
      </c>
      <c r="AB251" s="6">
        <v>4548.8962295900028</v>
      </c>
      <c r="AC251" s="6">
        <v>1002.9716133899999</v>
      </c>
      <c r="AD251" s="6">
        <v>29.702872150000005</v>
      </c>
      <c r="AE251" s="6">
        <v>-471.62350924999976</v>
      </c>
    </row>
    <row r="252" spans="1:31" ht="15.75" x14ac:dyDescent="0.25">
      <c r="A252" s="28">
        <v>42430</v>
      </c>
      <c r="B252" s="6">
        <v>21922.687418829999</v>
      </c>
      <c r="C252" s="6">
        <v>2531.3503898899999</v>
      </c>
      <c r="D252" s="6">
        <v>29835.997368089997</v>
      </c>
      <c r="E252" s="6">
        <v>16133.827065580001</v>
      </c>
      <c r="F252" s="6">
        <v>215.95191912000001</v>
      </c>
      <c r="G252" s="6">
        <v>9891.7365532200001</v>
      </c>
      <c r="H252" s="6">
        <v>1794.90323008</v>
      </c>
      <c r="I252" s="6">
        <v>1024.0185740700001</v>
      </c>
      <c r="J252" s="6">
        <v>279.57142751999999</v>
      </c>
      <c r="K252" s="6">
        <v>111</v>
      </c>
      <c r="L252" s="6">
        <v>1626</v>
      </c>
      <c r="M252" s="6" t="s">
        <v>69</v>
      </c>
      <c r="N252" s="6">
        <v>5998.3695411099989</v>
      </c>
      <c r="O252" s="6">
        <v>355.03599737000002</v>
      </c>
      <c r="P252" s="6" t="s">
        <v>69</v>
      </c>
      <c r="Q252" s="6">
        <v>549.08319211000014</v>
      </c>
      <c r="R252" s="6">
        <v>432.82315490999997</v>
      </c>
      <c r="S252" s="6">
        <v>6604.4889803900005</v>
      </c>
      <c r="T252" s="6">
        <v>4732.81210818</v>
      </c>
      <c r="U252" s="6">
        <v>93.892883040000001</v>
      </c>
      <c r="V252" s="6">
        <v>3.557E-5</v>
      </c>
      <c r="W252" s="6">
        <v>1.4837870600000005</v>
      </c>
      <c r="X252" s="6">
        <v>1225.8367228100001</v>
      </c>
      <c r="Y252" s="6">
        <v>58.290414089999999</v>
      </c>
      <c r="Z252" s="6">
        <v>37176.400000000001</v>
      </c>
      <c r="AA252" s="6">
        <v>7953.2933695199981</v>
      </c>
      <c r="AB252" s="6">
        <v>4782.8458533399989</v>
      </c>
      <c r="AC252" s="6">
        <v>1080.5449907500001</v>
      </c>
      <c r="AD252" s="6">
        <v>28.440735470000007</v>
      </c>
      <c r="AE252" s="6">
        <v>2356.8079816699997</v>
      </c>
    </row>
    <row r="253" spans="1:31" ht="15.75" x14ac:dyDescent="0.25">
      <c r="A253" s="28">
        <v>42461</v>
      </c>
      <c r="B253" s="6">
        <v>20572.013205750001</v>
      </c>
      <c r="C253" s="6">
        <v>2613.6864724500001</v>
      </c>
      <c r="D253" s="6">
        <v>33180.969660850002</v>
      </c>
      <c r="E253" s="6">
        <v>14983.17440648</v>
      </c>
      <c r="F253" s="6">
        <v>193.83840821000001</v>
      </c>
      <c r="G253" s="6">
        <v>10428.98299733</v>
      </c>
      <c r="H253" s="6">
        <v>1883.0203398599997</v>
      </c>
      <c r="I253" s="6">
        <v>1161.1080627599999</v>
      </c>
      <c r="J253" s="6">
        <v>290.80239175000003</v>
      </c>
      <c r="K253" s="6">
        <v>306</v>
      </c>
      <c r="L253" s="6">
        <v>1500</v>
      </c>
      <c r="M253" s="6" t="s">
        <v>69</v>
      </c>
      <c r="N253" s="6">
        <v>8268.837177989999</v>
      </c>
      <c r="O253" s="6">
        <v>1036.20655758</v>
      </c>
      <c r="P253" s="6" t="s">
        <v>69</v>
      </c>
      <c r="Q253" s="6">
        <v>548.66248092000001</v>
      </c>
      <c r="R253" s="6">
        <v>461.04202009000005</v>
      </c>
      <c r="S253" s="6">
        <v>12787.236188000001</v>
      </c>
      <c r="T253" s="6">
        <v>4521.0510906199997</v>
      </c>
      <c r="U253" s="6">
        <v>86.639938139999998</v>
      </c>
      <c r="V253" s="6">
        <v>3.557E-5</v>
      </c>
      <c r="W253" s="6">
        <v>1.9872540100000005</v>
      </c>
      <c r="X253" s="6">
        <v>1138.7599006799996</v>
      </c>
      <c r="Y253" s="6">
        <v>68.562517709999995</v>
      </c>
      <c r="Z253" s="6">
        <v>41597</v>
      </c>
      <c r="AA253" s="6">
        <v>8011.259668560001</v>
      </c>
      <c r="AB253" s="6">
        <v>4678.4107035499983</v>
      </c>
      <c r="AC253" s="6">
        <v>1151.8300962000003</v>
      </c>
      <c r="AD253" s="6">
        <v>27.796256209999999</v>
      </c>
      <c r="AE253" s="6">
        <v>993.80264212000247</v>
      </c>
    </row>
    <row r="254" spans="1:31" ht="15.75" x14ac:dyDescent="0.25">
      <c r="A254" s="28">
        <v>42491</v>
      </c>
      <c r="B254" s="6">
        <v>41695.51071396999</v>
      </c>
      <c r="C254" s="6">
        <v>2625.3600333300001</v>
      </c>
      <c r="D254" s="6">
        <v>30904.338040539998</v>
      </c>
      <c r="E254" s="6">
        <v>15043.345413350002</v>
      </c>
      <c r="F254" s="6">
        <v>375.41415562000003</v>
      </c>
      <c r="G254" s="6">
        <v>10222.10604192</v>
      </c>
      <c r="H254" s="6">
        <v>2063.4016006299998</v>
      </c>
      <c r="I254" s="6">
        <v>855.87861070000008</v>
      </c>
      <c r="J254" s="6">
        <v>286.63816910000003</v>
      </c>
      <c r="K254" s="6">
        <v>160</v>
      </c>
      <c r="L254" s="6">
        <v>1687</v>
      </c>
      <c r="M254" s="6" t="s">
        <v>69</v>
      </c>
      <c r="N254" s="6">
        <v>8507.388351489999</v>
      </c>
      <c r="O254" s="6">
        <v>5758.3223997800005</v>
      </c>
      <c r="P254" s="6" t="s">
        <v>69</v>
      </c>
      <c r="Q254" s="6">
        <v>533.52805433000003</v>
      </c>
      <c r="R254" s="6">
        <v>481.99520160000009</v>
      </c>
      <c r="S254" s="6">
        <v>7892.13143064</v>
      </c>
      <c r="T254" s="6">
        <v>4591.1735986100011</v>
      </c>
      <c r="U254" s="6">
        <v>86.597625859999994</v>
      </c>
      <c r="V254" s="6">
        <v>1.82248E-3</v>
      </c>
      <c r="W254" s="6">
        <v>2.4649978300000006</v>
      </c>
      <c r="X254" s="6">
        <v>1128.5025803399999</v>
      </c>
      <c r="Y254" s="6">
        <v>62.104784880000004</v>
      </c>
      <c r="Z254" s="6">
        <v>42439.6</v>
      </c>
      <c r="AA254" s="6">
        <v>8159.3991011700018</v>
      </c>
      <c r="AB254" s="6">
        <v>4893.322850290001</v>
      </c>
      <c r="AC254" s="6">
        <v>1163.05972531</v>
      </c>
      <c r="AD254" s="6">
        <v>29.72340285999999</v>
      </c>
      <c r="AE254" s="6">
        <v>621.56764643999861</v>
      </c>
    </row>
    <row r="255" spans="1:31" ht="15.75" x14ac:dyDescent="0.25">
      <c r="A255" s="28">
        <v>42522</v>
      </c>
      <c r="B255" s="6">
        <v>46448.251443590008</v>
      </c>
      <c r="C255" s="6">
        <v>2521.7054553900002</v>
      </c>
      <c r="D255" s="6">
        <v>33306.487191940003</v>
      </c>
      <c r="E255" s="6">
        <v>14825.26180763</v>
      </c>
      <c r="F255" s="6">
        <v>213.90303198000001</v>
      </c>
      <c r="G255" s="6">
        <v>11227.435062129998</v>
      </c>
      <c r="H255" s="6">
        <v>2798.1794868699999</v>
      </c>
      <c r="I255" s="6">
        <v>879.66224425999985</v>
      </c>
      <c r="J255" s="6">
        <v>341.91086326999999</v>
      </c>
      <c r="K255" s="6">
        <v>300</v>
      </c>
      <c r="L255" s="6">
        <v>2200</v>
      </c>
      <c r="M255" s="7" t="s">
        <v>69</v>
      </c>
      <c r="N255" s="6">
        <v>12561.497904040001</v>
      </c>
      <c r="O255" s="6">
        <v>3160.8139381400006</v>
      </c>
      <c r="P255" s="6" t="s">
        <v>69</v>
      </c>
      <c r="Q255" s="6">
        <v>573.84262460000002</v>
      </c>
      <c r="R255" s="6">
        <v>541.78139177000014</v>
      </c>
      <c r="S255" s="6">
        <v>4930.9934380899995</v>
      </c>
      <c r="T255" s="6">
        <v>4635.3525221999998</v>
      </c>
      <c r="U255" s="6">
        <v>88.478855679999995</v>
      </c>
      <c r="V255" s="6">
        <v>0.13037929000000001</v>
      </c>
      <c r="W255" s="6">
        <v>0.2291301</v>
      </c>
      <c r="X255" s="6">
        <v>1135.1220386799998</v>
      </c>
      <c r="Y255" s="6">
        <v>49.021832920000001</v>
      </c>
      <c r="Z255" s="6">
        <v>42775.7</v>
      </c>
      <c r="AA255" s="6">
        <v>8261.5216673899977</v>
      </c>
      <c r="AB255" s="6">
        <v>4871.1358095800015</v>
      </c>
      <c r="AC255" s="6">
        <v>1082.7903655300004</v>
      </c>
      <c r="AD255" s="6">
        <v>43.277870820000004</v>
      </c>
      <c r="AE255" s="6">
        <v>457.92389461000181</v>
      </c>
    </row>
    <row r="256" spans="1:31" ht="15.75" x14ac:dyDescent="0.25">
      <c r="A256" s="28">
        <v>42552</v>
      </c>
      <c r="B256" s="6">
        <v>33804.779689930001</v>
      </c>
      <c r="C256" s="6">
        <v>2416.43117175</v>
      </c>
      <c r="D256" s="6">
        <v>33455.028870959999</v>
      </c>
      <c r="E256" s="6">
        <v>14936.5790765</v>
      </c>
      <c r="F256" s="6">
        <v>440.89258007000001</v>
      </c>
      <c r="G256" s="6">
        <v>12019.70746594</v>
      </c>
      <c r="H256" s="6">
        <v>3044.8691859300006</v>
      </c>
      <c r="I256" s="6">
        <v>1117.34902259</v>
      </c>
      <c r="J256" s="6">
        <v>377.30743130999997</v>
      </c>
      <c r="K256" s="6">
        <v>739</v>
      </c>
      <c r="L256" s="6">
        <v>990</v>
      </c>
      <c r="M256" s="6" t="s">
        <v>69</v>
      </c>
      <c r="N256" s="6">
        <v>13338.158678060003</v>
      </c>
      <c r="O256" s="6">
        <v>1742.58845793</v>
      </c>
      <c r="P256" s="6" t="s">
        <v>69</v>
      </c>
      <c r="Q256" s="6">
        <v>616.14487319</v>
      </c>
      <c r="R256" s="6">
        <v>557.58132455999987</v>
      </c>
      <c r="S256" s="6">
        <v>7634.7537151400002</v>
      </c>
      <c r="T256" s="6">
        <v>4727.30951095</v>
      </c>
      <c r="U256" s="6">
        <v>89.10756665000001</v>
      </c>
      <c r="V256" s="6">
        <v>0.20781683999999997</v>
      </c>
      <c r="W256" s="6">
        <v>6.0062159999999993</v>
      </c>
      <c r="X256" s="6">
        <v>1094.9799539100002</v>
      </c>
      <c r="Y256" s="6">
        <v>57.254447480000003</v>
      </c>
      <c r="Z256" s="6">
        <v>57448.1</v>
      </c>
      <c r="AA256" s="6">
        <v>11842.377540740001</v>
      </c>
      <c r="AB256" s="6">
        <v>6592.7645036100012</v>
      </c>
      <c r="AC256" s="6">
        <v>1252.1200690899996</v>
      </c>
      <c r="AD256" s="6">
        <v>43.060513419999999</v>
      </c>
      <c r="AE256" s="6">
        <v>-401.69774317999901</v>
      </c>
    </row>
    <row r="257" spans="1:31" ht="15.75" x14ac:dyDescent="0.25">
      <c r="A257" s="28">
        <v>42583</v>
      </c>
      <c r="B257" s="6">
        <v>32214.866475579998</v>
      </c>
      <c r="C257" s="6">
        <v>2464.5945985200001</v>
      </c>
      <c r="D257" s="6">
        <v>34807.791340409996</v>
      </c>
      <c r="E257" s="6">
        <v>16377.797430839999</v>
      </c>
      <c r="F257" s="6">
        <v>284.66739900000005</v>
      </c>
      <c r="G257" s="6">
        <v>10798.285749709999</v>
      </c>
      <c r="H257" s="6">
        <v>3154.5189937000009</v>
      </c>
      <c r="I257" s="6">
        <v>1223.8320553799997</v>
      </c>
      <c r="J257" s="6">
        <v>387.63632912000008</v>
      </c>
      <c r="K257" s="6">
        <v>340</v>
      </c>
      <c r="L257" s="6">
        <v>1235</v>
      </c>
      <c r="M257" s="6" t="s">
        <v>69</v>
      </c>
      <c r="N257" s="6">
        <v>12376.694664119997</v>
      </c>
      <c r="O257" s="6">
        <v>1710.1590328300001</v>
      </c>
      <c r="P257" s="6" t="s">
        <v>69</v>
      </c>
      <c r="Q257" s="6">
        <v>590.86470607000012</v>
      </c>
      <c r="R257" s="6">
        <v>697.52318498</v>
      </c>
      <c r="S257" s="6">
        <v>4453.7876325899997</v>
      </c>
      <c r="T257" s="6">
        <v>4991.0370525300013</v>
      </c>
      <c r="U257" s="6">
        <v>93.386915879999989</v>
      </c>
      <c r="V257" s="6">
        <v>3.557E-5</v>
      </c>
      <c r="W257" s="6">
        <v>1.5982337200000001</v>
      </c>
      <c r="X257" s="6">
        <v>1260.9243078899999</v>
      </c>
      <c r="Y257" s="6">
        <v>73.647432129999999</v>
      </c>
      <c r="Z257" s="6">
        <v>44219.199999999997</v>
      </c>
      <c r="AA257" s="6">
        <v>9111.8215050999988</v>
      </c>
      <c r="AB257" s="6">
        <v>5484.4721737700002</v>
      </c>
      <c r="AC257" s="6">
        <v>1316.5591387499999</v>
      </c>
      <c r="AD257" s="6">
        <v>45.746011639999999</v>
      </c>
      <c r="AE257" s="6">
        <v>991.83257193000065</v>
      </c>
    </row>
    <row r="258" spans="1:31" ht="15.75" x14ac:dyDescent="0.25">
      <c r="A258" s="28">
        <v>42614</v>
      </c>
      <c r="B258" s="6">
        <v>31985.756861320002</v>
      </c>
      <c r="C258" s="6">
        <v>2439.99329579</v>
      </c>
      <c r="D258" s="6">
        <v>38101.63557939</v>
      </c>
      <c r="E258" s="6">
        <v>16158.038654360002</v>
      </c>
      <c r="F258" s="6">
        <v>279.92730377999999</v>
      </c>
      <c r="G258" s="6">
        <v>12063.18395547</v>
      </c>
      <c r="H258" s="6">
        <v>3271.5604599599997</v>
      </c>
      <c r="I258" s="6">
        <v>1438.1251909399998</v>
      </c>
      <c r="J258" s="6">
        <v>389.12390462999997</v>
      </c>
      <c r="K258" s="6">
        <v>403</v>
      </c>
      <c r="L258" s="6">
        <v>1117</v>
      </c>
      <c r="M258" s="6" t="s">
        <v>69</v>
      </c>
      <c r="N258" s="6">
        <v>9895.1624823399998</v>
      </c>
      <c r="O258" s="6">
        <v>517.43208516000004</v>
      </c>
      <c r="P258" s="6" t="s">
        <v>69</v>
      </c>
      <c r="Q258" s="6">
        <v>583.61735334000014</v>
      </c>
      <c r="R258" s="6">
        <v>1007.20100343</v>
      </c>
      <c r="S258" s="6">
        <v>5172.16245764</v>
      </c>
      <c r="T258" s="6">
        <v>5214.0582156700002</v>
      </c>
      <c r="U258" s="6">
        <v>95.966662859999985</v>
      </c>
      <c r="V258" s="6">
        <v>3.7383359999999997E-2</v>
      </c>
      <c r="W258" s="6">
        <v>3.7831974799999992</v>
      </c>
      <c r="X258" s="6">
        <v>1260.64855401</v>
      </c>
      <c r="Y258" s="6">
        <v>64.195866449999997</v>
      </c>
      <c r="Z258" s="6">
        <v>45147.8</v>
      </c>
      <c r="AA258" s="6">
        <v>8990.946117190002</v>
      </c>
      <c r="AB258" s="6">
        <v>5364.5217193399994</v>
      </c>
      <c r="AC258" s="6">
        <v>1299.1248548299998</v>
      </c>
      <c r="AD258" s="6">
        <v>46.269231820000009</v>
      </c>
      <c r="AE258" s="6">
        <v>-400.339640940001</v>
      </c>
    </row>
    <row r="259" spans="1:31" ht="15.75" x14ac:dyDescent="0.25">
      <c r="A259" s="28">
        <v>42644</v>
      </c>
      <c r="B259" s="6">
        <v>33462.644480349998</v>
      </c>
      <c r="C259" s="6">
        <v>2222.7950923600001</v>
      </c>
      <c r="D259" s="6">
        <v>34609.793575429998</v>
      </c>
      <c r="E259" s="6">
        <v>15209.621878670001</v>
      </c>
      <c r="F259" s="6">
        <v>306.43599733999997</v>
      </c>
      <c r="G259" s="6">
        <v>11236.96597234</v>
      </c>
      <c r="H259" s="6">
        <v>3506.9018815000004</v>
      </c>
      <c r="I259" s="6">
        <v>1424.4142389599999</v>
      </c>
      <c r="J259" s="6">
        <v>413.9514894699999</v>
      </c>
      <c r="K259" s="6">
        <v>565</v>
      </c>
      <c r="L259" s="6">
        <v>1375</v>
      </c>
      <c r="M259" s="6" t="s">
        <v>69</v>
      </c>
      <c r="N259" s="6">
        <v>9931.0824228100009</v>
      </c>
      <c r="O259" s="6">
        <v>1547.38675027</v>
      </c>
      <c r="P259" s="6" t="s">
        <v>69</v>
      </c>
      <c r="Q259" s="6">
        <v>608.90401831999986</v>
      </c>
      <c r="R259" s="6">
        <v>3610.0394865800004</v>
      </c>
      <c r="S259" s="6">
        <v>4688.65865493</v>
      </c>
      <c r="T259" s="6">
        <v>4763.3012133000002</v>
      </c>
      <c r="U259" s="6">
        <v>90.731766899999997</v>
      </c>
      <c r="V259" s="6">
        <v>1.3694E-4</v>
      </c>
      <c r="W259" s="6">
        <v>11.68885006</v>
      </c>
      <c r="X259" s="6">
        <v>1138.7075621699998</v>
      </c>
      <c r="Y259" s="6">
        <v>58.611285630000005</v>
      </c>
      <c r="Z259" s="6">
        <v>45419</v>
      </c>
      <c r="AA259" s="6">
        <v>9040.30930954</v>
      </c>
      <c r="AB259" s="6">
        <v>5303.9565357799993</v>
      </c>
      <c r="AC259" s="6">
        <v>1282.1976053499998</v>
      </c>
      <c r="AD259" s="6">
        <v>44.908014650000005</v>
      </c>
      <c r="AE259" s="6">
        <v>-403.80478571000003</v>
      </c>
    </row>
    <row r="260" spans="1:31" ht="15.75" x14ac:dyDescent="0.25">
      <c r="A260" s="28">
        <v>42675</v>
      </c>
      <c r="B260" s="6">
        <v>35274.221061309996</v>
      </c>
      <c r="C260" s="6">
        <v>2239.8698563900002</v>
      </c>
      <c r="D260" s="6">
        <v>37483.65969285</v>
      </c>
      <c r="E260" s="6">
        <v>15551.04624543</v>
      </c>
      <c r="F260" s="6">
        <v>256.79682479999997</v>
      </c>
      <c r="G260" s="6">
        <v>12413.078658290002</v>
      </c>
      <c r="H260" s="6">
        <v>3462.8760987300006</v>
      </c>
      <c r="I260" s="6">
        <v>1263.83096292</v>
      </c>
      <c r="J260" s="6">
        <v>417.73809171999994</v>
      </c>
      <c r="K260" s="6">
        <v>673</v>
      </c>
      <c r="L260" s="6">
        <v>1800</v>
      </c>
      <c r="M260" s="6" t="s">
        <v>69</v>
      </c>
      <c r="N260" s="6">
        <v>10256.029239379999</v>
      </c>
      <c r="O260" s="6">
        <v>436.59003777000004</v>
      </c>
      <c r="P260" s="6" t="s">
        <v>69</v>
      </c>
      <c r="Q260" s="6">
        <v>618.62046285999998</v>
      </c>
      <c r="R260" s="6">
        <v>13572.73243256</v>
      </c>
      <c r="S260" s="6">
        <v>5069.84305984</v>
      </c>
      <c r="T260" s="6">
        <v>4492.3594375000002</v>
      </c>
      <c r="U260" s="6">
        <v>89.914604080000004</v>
      </c>
      <c r="V260" s="6">
        <v>0.19642219</v>
      </c>
      <c r="W260" s="6">
        <v>1.116387</v>
      </c>
      <c r="X260" s="6">
        <v>1230.0683235900001</v>
      </c>
      <c r="Y260" s="6">
        <v>64.639938900000004</v>
      </c>
      <c r="Z260" s="6">
        <v>47117.3</v>
      </c>
      <c r="AA260" s="6">
        <v>9361.3072032100008</v>
      </c>
      <c r="AB260" s="6">
        <v>5598.13263895</v>
      </c>
      <c r="AC260" s="6">
        <v>1285.2043175000003</v>
      </c>
      <c r="AD260" s="6">
        <v>45.881786150000011</v>
      </c>
      <c r="AE260" s="6">
        <v>-1313.8930928999987</v>
      </c>
    </row>
    <row r="261" spans="1:31" ht="15.75" x14ac:dyDescent="0.25">
      <c r="A261" s="28">
        <v>42705</v>
      </c>
      <c r="B261" s="6">
        <v>40096.708573700002</v>
      </c>
      <c r="C261" s="6">
        <v>2330.1500534899997</v>
      </c>
      <c r="D261" s="6">
        <v>39854.850681380005</v>
      </c>
      <c r="E261" s="6">
        <v>16878.708408030005</v>
      </c>
      <c r="F261" s="6">
        <v>275.90495522999993</v>
      </c>
      <c r="G261" s="6">
        <v>13006.472067120001</v>
      </c>
      <c r="H261" s="6">
        <v>3885.4106234000005</v>
      </c>
      <c r="I261" s="6">
        <v>1409.3242926400001</v>
      </c>
      <c r="J261" s="6">
        <v>467.48940009</v>
      </c>
      <c r="K261" s="6">
        <v>2134</v>
      </c>
      <c r="L261" s="6">
        <v>208</v>
      </c>
      <c r="M261" s="6" t="s">
        <v>69</v>
      </c>
      <c r="N261" s="6">
        <v>15573.15593114</v>
      </c>
      <c r="O261" s="6">
        <v>1389.4462867700001</v>
      </c>
      <c r="P261" s="6" t="s">
        <v>69</v>
      </c>
      <c r="Q261" s="6">
        <v>620.10121259999983</v>
      </c>
      <c r="R261" s="6">
        <v>91107.463392079997</v>
      </c>
      <c r="S261" s="6">
        <v>3906.5290637899998</v>
      </c>
      <c r="T261" s="6">
        <v>5074.0133123300002</v>
      </c>
      <c r="U261" s="6">
        <v>96.737946570000005</v>
      </c>
      <c r="V261" s="6">
        <v>2.596975E-2</v>
      </c>
      <c r="W261" s="6">
        <v>3.3066635400000002</v>
      </c>
      <c r="X261" s="6">
        <v>1294.23400883</v>
      </c>
      <c r="Y261" s="6">
        <v>52.633016380000001</v>
      </c>
      <c r="Z261" s="6">
        <v>47541.3</v>
      </c>
      <c r="AA261" s="6">
        <v>9573.8642780599966</v>
      </c>
      <c r="AB261" s="6">
        <v>5703.1516504499996</v>
      </c>
      <c r="AC261" s="6">
        <v>1325.10747823</v>
      </c>
      <c r="AD261" s="6">
        <v>46.557133229999998</v>
      </c>
      <c r="AE261" s="6">
        <v>1396.8395114700004</v>
      </c>
    </row>
    <row r="262" spans="1:31" ht="15.75" x14ac:dyDescent="0.25">
      <c r="A262" s="28">
        <v>42736</v>
      </c>
      <c r="B262" s="6">
        <v>41305.900813529996</v>
      </c>
      <c r="C262" s="6">
        <v>2197.61705063</v>
      </c>
      <c r="D262" s="6">
        <v>44255.070556579994</v>
      </c>
      <c r="E262" s="6">
        <v>16051.809727150001</v>
      </c>
      <c r="F262" s="6">
        <v>105.22783362999999</v>
      </c>
      <c r="G262" s="6">
        <v>13058.8918385</v>
      </c>
      <c r="H262" s="6">
        <v>4228.7628182600001</v>
      </c>
      <c r="I262" s="6">
        <v>1746.4093415300003</v>
      </c>
      <c r="J262" s="6">
        <v>519.15681541999993</v>
      </c>
      <c r="K262" s="6">
        <v>1761</v>
      </c>
      <c r="L262" s="6">
        <v>1661</v>
      </c>
      <c r="M262" s="6" t="s">
        <v>69</v>
      </c>
      <c r="N262" s="6">
        <v>6897.1353661899993</v>
      </c>
      <c r="O262" s="6">
        <v>431.68750560999996</v>
      </c>
      <c r="P262" s="6" t="s">
        <v>69</v>
      </c>
      <c r="Q262" s="6">
        <v>531.80249074999995</v>
      </c>
      <c r="R262" s="6">
        <v>8400.3068918999998</v>
      </c>
      <c r="S262" s="6">
        <v>6102.5028747200004</v>
      </c>
      <c r="T262" s="6">
        <v>5059.1285222100005</v>
      </c>
      <c r="U262" s="6">
        <v>93.391572679999996</v>
      </c>
      <c r="V262" s="6">
        <v>6.232E-5</v>
      </c>
      <c r="W262" s="6">
        <v>0.19841392000000002</v>
      </c>
      <c r="X262" s="6">
        <v>1206.5426686799999</v>
      </c>
      <c r="Y262" s="6">
        <v>47.982763080000005</v>
      </c>
      <c r="Z262" s="6">
        <v>65478</v>
      </c>
      <c r="AA262" s="6">
        <v>13994.826593409998</v>
      </c>
      <c r="AB262" s="6">
        <v>8073.8483757599979</v>
      </c>
      <c r="AC262" s="6">
        <v>1402.21869818</v>
      </c>
      <c r="AD262" s="6">
        <v>45.124376489999989</v>
      </c>
      <c r="AE262" s="6">
        <v>256.76558342999942</v>
      </c>
    </row>
    <row r="263" spans="1:31" ht="15.75" x14ac:dyDescent="0.25">
      <c r="A263" s="28">
        <v>42767</v>
      </c>
      <c r="B263" s="6">
        <v>33355.428984660008</v>
      </c>
      <c r="C263" s="6">
        <v>1990.4295882700001</v>
      </c>
      <c r="D263" s="6">
        <v>40082.123529210003</v>
      </c>
      <c r="E263" s="6">
        <v>14714.799871010002</v>
      </c>
      <c r="F263" s="6">
        <v>226.96634834</v>
      </c>
      <c r="G263" s="6">
        <v>12721.258838289999</v>
      </c>
      <c r="H263" s="6">
        <v>3664.2226167700005</v>
      </c>
      <c r="I263" s="6">
        <v>1492.0918358199999</v>
      </c>
      <c r="J263" s="6">
        <v>420.76517995</v>
      </c>
      <c r="K263" s="6">
        <v>1675</v>
      </c>
      <c r="L263" s="6">
        <v>1265</v>
      </c>
      <c r="M263" s="6" t="s">
        <v>69</v>
      </c>
      <c r="N263" s="6">
        <v>9131.7610198499988</v>
      </c>
      <c r="O263" s="6">
        <v>1250.4997731000001</v>
      </c>
      <c r="P263" s="6" t="s">
        <v>69</v>
      </c>
      <c r="Q263" s="6">
        <v>805.69739168000012</v>
      </c>
      <c r="R263" s="6">
        <v>2016.34277445</v>
      </c>
      <c r="S263" s="6">
        <v>1071.73081146</v>
      </c>
      <c r="T263" s="6">
        <v>4176.5400315900006</v>
      </c>
      <c r="U263" s="6">
        <v>79.34224261</v>
      </c>
      <c r="V263" s="6">
        <v>6.232E-5</v>
      </c>
      <c r="W263" s="6">
        <v>0.22638885000000009</v>
      </c>
      <c r="X263" s="6">
        <v>1101.3657584300001</v>
      </c>
      <c r="Y263" s="6">
        <v>48.752049650000011</v>
      </c>
      <c r="Z263" s="6">
        <v>51120</v>
      </c>
      <c r="AA263" s="6">
        <v>10450.688286050003</v>
      </c>
      <c r="AB263" s="6">
        <v>6070.184380220001</v>
      </c>
      <c r="AC263" s="6">
        <v>1414.6581256000002</v>
      </c>
      <c r="AD263" s="6">
        <v>43.01059455</v>
      </c>
      <c r="AE263" s="6">
        <v>274.78907911000044</v>
      </c>
    </row>
    <row r="264" spans="1:31" ht="15.75" x14ac:dyDescent="0.25">
      <c r="A264" s="28">
        <v>42795</v>
      </c>
      <c r="B264" s="6">
        <v>30342.706291089999</v>
      </c>
      <c r="C264" s="6">
        <v>2600.2907202900001</v>
      </c>
      <c r="D264" s="6">
        <v>36602.591876820006</v>
      </c>
      <c r="E264" s="6">
        <v>19203.113779029998</v>
      </c>
      <c r="F264" s="6">
        <v>316.61882377000001</v>
      </c>
      <c r="G264" s="6">
        <v>12359.63916051</v>
      </c>
      <c r="H264" s="6">
        <v>3533.145600530001</v>
      </c>
      <c r="I264" s="6">
        <v>1507.4225231400005</v>
      </c>
      <c r="J264" s="6">
        <v>429.45121397999998</v>
      </c>
      <c r="K264" s="6">
        <v>2400</v>
      </c>
      <c r="L264" s="6">
        <v>1327.09650898</v>
      </c>
      <c r="M264" s="6" t="s">
        <v>69</v>
      </c>
      <c r="N264" s="6">
        <v>9911.6299563199991</v>
      </c>
      <c r="O264" s="6">
        <v>473.07194186000004</v>
      </c>
      <c r="P264" s="6" t="s">
        <v>69</v>
      </c>
      <c r="Q264" s="6">
        <v>861.49217444999977</v>
      </c>
      <c r="R264" s="6">
        <v>28591.338464170003</v>
      </c>
      <c r="S264" s="6">
        <v>6138.3750691499999</v>
      </c>
      <c r="T264" s="6">
        <v>5418.7817015000001</v>
      </c>
      <c r="U264" s="6">
        <v>106.05309340000002</v>
      </c>
      <c r="V264" s="6">
        <v>1.0451829999999999E-2</v>
      </c>
      <c r="W264" s="6">
        <v>8.6193270000000002E-2</v>
      </c>
      <c r="X264" s="6">
        <v>1477.6375829900001</v>
      </c>
      <c r="Y264" s="6">
        <v>69.689670489999983</v>
      </c>
      <c r="Z264" s="6">
        <v>52521.8</v>
      </c>
      <c r="AA264" s="6">
        <v>10584.044549179998</v>
      </c>
      <c r="AB264" s="6">
        <v>6281.5292280600006</v>
      </c>
      <c r="AC264" s="6">
        <v>1782.9236875099996</v>
      </c>
      <c r="AD264" s="6">
        <v>47.666043459999997</v>
      </c>
      <c r="AE264" s="6">
        <v>8300.2132184900001</v>
      </c>
    </row>
    <row r="265" spans="1:31" ht="15.75" x14ac:dyDescent="0.25">
      <c r="A265" s="28">
        <v>42826</v>
      </c>
      <c r="B265" s="6">
        <v>27054.679334260003</v>
      </c>
      <c r="C265" s="6">
        <v>2549.3088561600002</v>
      </c>
      <c r="D265" s="6">
        <v>44238.521757230003</v>
      </c>
      <c r="E265" s="6">
        <v>16861.225066750001</v>
      </c>
      <c r="F265" s="6">
        <v>394.18629656999997</v>
      </c>
      <c r="G265" s="6">
        <v>12676.87266467</v>
      </c>
      <c r="H265" s="6">
        <v>3793.3310533299996</v>
      </c>
      <c r="I265" s="6">
        <v>1771.2730306099998</v>
      </c>
      <c r="J265" s="6">
        <v>482.21444332999994</v>
      </c>
      <c r="K265" s="6">
        <v>1000</v>
      </c>
      <c r="L265" s="6">
        <v>1500</v>
      </c>
      <c r="M265" s="6" t="s">
        <v>69</v>
      </c>
      <c r="N265" s="6">
        <v>17256.233991619996</v>
      </c>
      <c r="O265" s="6">
        <v>1233.1742374600001</v>
      </c>
      <c r="P265" s="6" t="s">
        <v>69</v>
      </c>
      <c r="Q265" s="6">
        <v>776.66413773999989</v>
      </c>
      <c r="R265" s="6">
        <v>4489.2752305299991</v>
      </c>
      <c r="S265" s="6">
        <v>9053.9084549599993</v>
      </c>
      <c r="T265" s="6">
        <v>4690.5854783700006</v>
      </c>
      <c r="U265" s="6">
        <v>93.939100440000004</v>
      </c>
      <c r="V265" s="6">
        <v>1.0209340000000001E-2</v>
      </c>
      <c r="W265" s="6">
        <v>0.73625171999999983</v>
      </c>
      <c r="X265" s="6">
        <v>1396.5159342999996</v>
      </c>
      <c r="Y265" s="6">
        <v>70.985049559999993</v>
      </c>
      <c r="Z265" s="6">
        <v>55417.4</v>
      </c>
      <c r="AA265" s="6">
        <v>10582.15132304</v>
      </c>
      <c r="AB265" s="6">
        <v>6033.9126899900011</v>
      </c>
      <c r="AC265" s="6">
        <v>1455.00721464</v>
      </c>
      <c r="AD265" s="6">
        <v>58.625028820000004</v>
      </c>
      <c r="AE265" s="6">
        <v>-6212.2017711000008</v>
      </c>
    </row>
    <row r="266" spans="1:31" ht="15.75" x14ac:dyDescent="0.25">
      <c r="A266" s="28">
        <v>42856</v>
      </c>
      <c r="B266" s="6">
        <v>49290.162834260002</v>
      </c>
      <c r="C266" s="6">
        <v>2987.3150174900002</v>
      </c>
      <c r="D266" s="6">
        <v>41823.122576150003</v>
      </c>
      <c r="E266" s="6">
        <v>19311.761361550001</v>
      </c>
      <c r="F266" s="6">
        <v>416.42813383999999</v>
      </c>
      <c r="G266" s="6">
        <v>13338.076778670002</v>
      </c>
      <c r="H266" s="6">
        <v>3488.5510592800006</v>
      </c>
      <c r="I266" s="6">
        <v>1464.5358301700003</v>
      </c>
      <c r="J266" s="6">
        <v>457.95712300000002</v>
      </c>
      <c r="K266" s="6">
        <v>1400</v>
      </c>
      <c r="L266" s="6">
        <v>2500</v>
      </c>
      <c r="M266" s="7" t="s">
        <v>69</v>
      </c>
      <c r="N266" s="6">
        <v>13789.606578689998</v>
      </c>
      <c r="O266" s="6">
        <v>563.72150510000006</v>
      </c>
      <c r="P266" s="6" t="s">
        <v>69</v>
      </c>
      <c r="Q266" s="6">
        <v>838.49016842000003</v>
      </c>
      <c r="R266" s="6">
        <v>1412.62144079</v>
      </c>
      <c r="S266" s="6">
        <v>6789.6339264100006</v>
      </c>
      <c r="T266" s="6">
        <v>5255.2129034100008</v>
      </c>
      <c r="U266" s="6">
        <v>105.22109134000002</v>
      </c>
      <c r="V266" s="6">
        <v>6.232E-5</v>
      </c>
      <c r="W266" s="6">
        <v>3.0105010000000005E-2</v>
      </c>
      <c r="X266" s="6">
        <v>1567.3074657799998</v>
      </c>
      <c r="Y266" s="6">
        <v>77.032369559999992</v>
      </c>
      <c r="Z266" s="6">
        <v>54533.1</v>
      </c>
      <c r="AA266" s="6">
        <v>10848.413614299998</v>
      </c>
      <c r="AB266" s="6">
        <v>6214.0256821700004</v>
      </c>
      <c r="AC266" s="6">
        <v>2001.7003399700004</v>
      </c>
      <c r="AD266" s="6">
        <v>62.176380429999995</v>
      </c>
      <c r="AE266" s="6">
        <v>-1199.2060059599999</v>
      </c>
    </row>
    <row r="267" spans="1:31" ht="15.75" x14ac:dyDescent="0.25">
      <c r="A267" s="28">
        <v>42887</v>
      </c>
      <c r="B267" s="6">
        <v>59146.71294025</v>
      </c>
      <c r="C267" s="6">
        <v>2972.8601453600004</v>
      </c>
      <c r="D267" s="6">
        <v>43172.398412329996</v>
      </c>
      <c r="E267" s="6">
        <v>20036.643288830001</v>
      </c>
      <c r="F267" s="6">
        <v>343.80775546999996</v>
      </c>
      <c r="G267" s="6">
        <v>14385.35943835</v>
      </c>
      <c r="H267" s="6">
        <v>3738.1003659200001</v>
      </c>
      <c r="I267" s="6">
        <v>1675.3038057700001</v>
      </c>
      <c r="J267" s="6">
        <v>426.48121008000004</v>
      </c>
      <c r="K267" s="6">
        <v>1100</v>
      </c>
      <c r="L267" s="6">
        <v>2300</v>
      </c>
      <c r="M267" s="6" t="s">
        <v>69</v>
      </c>
      <c r="N267" s="6">
        <v>15263.12294261</v>
      </c>
      <c r="O267" s="6">
        <v>4742.6452781899998</v>
      </c>
      <c r="P267" s="6" t="s">
        <v>69</v>
      </c>
      <c r="Q267" s="6">
        <v>833.86422249999987</v>
      </c>
      <c r="R267" s="6">
        <v>907.48156458000028</v>
      </c>
      <c r="S267" s="6">
        <v>5468.7017321500007</v>
      </c>
      <c r="T267" s="6">
        <v>5630.7194768900008</v>
      </c>
      <c r="U267" s="6">
        <v>112.01567979000002</v>
      </c>
      <c r="V267" s="6">
        <v>6.232E-5</v>
      </c>
      <c r="W267" s="6">
        <v>0.18041482000000003</v>
      </c>
      <c r="X267" s="6">
        <v>1579.6587318799998</v>
      </c>
      <c r="Y267" s="6">
        <v>63.997343219999998</v>
      </c>
      <c r="Z267" s="6">
        <v>53794.400000000001</v>
      </c>
      <c r="AA267" s="6">
        <v>10717.487167780002</v>
      </c>
      <c r="AB267" s="6">
        <v>6085.8064309700003</v>
      </c>
      <c r="AC267" s="6">
        <v>1663.6914606499997</v>
      </c>
      <c r="AD267" s="6">
        <v>59.917567730000002</v>
      </c>
      <c r="AE267" s="6">
        <v>2645.41817257</v>
      </c>
    </row>
    <row r="268" spans="1:31" ht="15.75" x14ac:dyDescent="0.25">
      <c r="A268" s="28">
        <v>42917</v>
      </c>
      <c r="B268" s="6">
        <v>47653.633097530008</v>
      </c>
      <c r="C268" s="6">
        <v>3050.9703842100007</v>
      </c>
      <c r="D268" s="6">
        <v>45221.075375760003</v>
      </c>
      <c r="E268" s="6">
        <v>20348.907145140001</v>
      </c>
      <c r="F268" s="6">
        <v>164.36417281999999</v>
      </c>
      <c r="G268" s="6">
        <v>15161.004318660001</v>
      </c>
      <c r="H268" s="6">
        <v>3832.9852813100006</v>
      </c>
      <c r="I268" s="6">
        <v>1801.1604997900001</v>
      </c>
      <c r="J268" s="6">
        <v>468.12061239999997</v>
      </c>
      <c r="K268" s="6">
        <v>1330</v>
      </c>
      <c r="L268" s="6">
        <v>2300</v>
      </c>
      <c r="M268" s="6" t="s">
        <v>69</v>
      </c>
      <c r="N268" s="6">
        <v>14370.978795589999</v>
      </c>
      <c r="O268" s="6">
        <v>3326.2953220399995</v>
      </c>
      <c r="P268" s="6" t="s">
        <v>69</v>
      </c>
      <c r="Q268" s="6">
        <v>884.95629852000002</v>
      </c>
      <c r="R268" s="6">
        <v>968.17875946000004</v>
      </c>
      <c r="S268" s="6">
        <v>7892.51368</v>
      </c>
      <c r="T268" s="6">
        <v>5855.5287021100012</v>
      </c>
      <c r="U268" s="6">
        <v>117.30573084999999</v>
      </c>
      <c r="V268" s="6">
        <v>6.232E-5</v>
      </c>
      <c r="W268" s="6">
        <v>1.1936408199999997</v>
      </c>
      <c r="X268" s="6">
        <v>1693.1326462900001</v>
      </c>
      <c r="Y268" s="6">
        <v>55.350720550000005</v>
      </c>
      <c r="Z268" s="6">
        <v>73953.5</v>
      </c>
      <c r="AA268" s="6">
        <v>15649.341360330001</v>
      </c>
      <c r="AB268" s="6">
        <v>8621.9591643399999</v>
      </c>
      <c r="AC268" s="6">
        <v>1734.6040305400002</v>
      </c>
      <c r="AD268" s="6">
        <v>60.91386055000001</v>
      </c>
      <c r="AE268" s="6">
        <v>1574.4052172999984</v>
      </c>
    </row>
    <row r="269" spans="1:31" ht="15.75" x14ac:dyDescent="0.25">
      <c r="A269" s="28">
        <v>42948</v>
      </c>
      <c r="B269" s="6">
        <v>43898.055791259998</v>
      </c>
      <c r="C269" s="6">
        <v>3503.2998469999998</v>
      </c>
      <c r="D269" s="6">
        <v>47871.698198190003</v>
      </c>
      <c r="E269" s="6">
        <v>23962.369815360002</v>
      </c>
      <c r="F269" s="6">
        <v>121.75064707999999</v>
      </c>
      <c r="G269" s="6">
        <v>14738.909912520001</v>
      </c>
      <c r="H269" s="6">
        <v>3906.7494000900006</v>
      </c>
      <c r="I269" s="6">
        <v>2054.6893446899999</v>
      </c>
      <c r="J269" s="6">
        <v>478.99389309000003</v>
      </c>
      <c r="K269" s="6">
        <v>1900</v>
      </c>
      <c r="L269" s="6">
        <v>2500</v>
      </c>
      <c r="M269" s="6" t="s">
        <v>69</v>
      </c>
      <c r="N269" s="6">
        <v>13498.036344309998</v>
      </c>
      <c r="O269" s="6">
        <v>2011.3396412899999</v>
      </c>
      <c r="P269" s="6" t="s">
        <v>69</v>
      </c>
      <c r="Q269" s="6">
        <v>924.60262808000004</v>
      </c>
      <c r="R269" s="6">
        <v>785.16031106999992</v>
      </c>
      <c r="S269" s="6">
        <v>6584.4367592399994</v>
      </c>
      <c r="T269" s="6">
        <v>7149.2376334300025</v>
      </c>
      <c r="U269" s="6">
        <v>140.27272704000001</v>
      </c>
      <c r="V269" s="6">
        <v>1.1151950000000001E-2</v>
      </c>
      <c r="W269" s="6">
        <v>0.32124957999999998</v>
      </c>
      <c r="X269" s="6">
        <v>2040.8017917500001</v>
      </c>
      <c r="Y269" s="6">
        <v>67.350162710000006</v>
      </c>
      <c r="Z269" s="6">
        <v>56955.6</v>
      </c>
      <c r="AA269" s="6">
        <v>11745.989140380001</v>
      </c>
      <c r="AB269" s="6">
        <v>6726.1352845600013</v>
      </c>
      <c r="AC269" s="6">
        <v>1611.9470281300003</v>
      </c>
      <c r="AD269" s="6">
        <v>61.79715860000001</v>
      </c>
      <c r="AE269" s="6">
        <v>1284.5589173900028</v>
      </c>
    </row>
    <row r="270" spans="1:31" ht="15.75" x14ac:dyDescent="0.25">
      <c r="A270" s="28">
        <v>42979</v>
      </c>
      <c r="B270" s="6">
        <v>48624.176964170008</v>
      </c>
      <c r="C270" s="6">
        <v>3226.4188947599996</v>
      </c>
      <c r="D270" s="6">
        <v>47777.915742770012</v>
      </c>
      <c r="E270" s="6">
        <v>22643.13359668</v>
      </c>
      <c r="F270" s="6">
        <v>131.45799680000002</v>
      </c>
      <c r="G270" s="6">
        <v>16331.165275020001</v>
      </c>
      <c r="H270" s="6">
        <v>3960.0359270500003</v>
      </c>
      <c r="I270" s="6">
        <v>2256.7069654500006</v>
      </c>
      <c r="J270" s="6">
        <v>491.59549244999999</v>
      </c>
      <c r="K270" s="6">
        <v>1950</v>
      </c>
      <c r="L270" s="6">
        <v>2500</v>
      </c>
      <c r="M270" s="6" t="s">
        <v>69</v>
      </c>
      <c r="N270" s="6">
        <v>13302.322807619998</v>
      </c>
      <c r="O270" s="6">
        <v>2474.7762443000001</v>
      </c>
      <c r="P270" s="6" t="s">
        <v>69</v>
      </c>
      <c r="Q270" s="6">
        <v>906.89720494999983</v>
      </c>
      <c r="R270" s="6">
        <v>1025.3236317600001</v>
      </c>
      <c r="S270" s="6">
        <v>4980.4384505600001</v>
      </c>
      <c r="T270" s="6">
        <v>6578.1988642199995</v>
      </c>
      <c r="U270" s="6">
        <v>133.98924237999998</v>
      </c>
      <c r="V270" s="6">
        <v>6.232E-5</v>
      </c>
      <c r="W270" s="6">
        <v>3.1717024699999992</v>
      </c>
      <c r="X270" s="6">
        <v>1905.0825249700003</v>
      </c>
      <c r="Y270" s="6">
        <v>57.994915279999994</v>
      </c>
      <c r="Z270" s="6">
        <v>57627.1</v>
      </c>
      <c r="AA270" s="6">
        <v>11503.39923236</v>
      </c>
      <c r="AB270" s="6">
        <v>6396.1834102099992</v>
      </c>
      <c r="AC270" s="6">
        <v>1900.38849452</v>
      </c>
      <c r="AD270" s="6">
        <v>60.208039099999986</v>
      </c>
      <c r="AE270" s="6">
        <v>776.53892232000101</v>
      </c>
    </row>
    <row r="271" spans="1:31" ht="15.75" x14ac:dyDescent="0.25">
      <c r="A271" s="28">
        <v>43009</v>
      </c>
      <c r="B271" s="6">
        <v>45288.25907426</v>
      </c>
      <c r="C271" s="6">
        <v>3500.2083362399999</v>
      </c>
      <c r="D271" s="6">
        <v>47277.613152420003</v>
      </c>
      <c r="E271" s="6">
        <v>24084.385033669998</v>
      </c>
      <c r="F271" s="6">
        <v>121.12711287999998</v>
      </c>
      <c r="G271" s="6">
        <v>14214.979712079999</v>
      </c>
      <c r="H271" s="6">
        <v>4122.1705251600006</v>
      </c>
      <c r="I271" s="6">
        <v>2481.074412160001</v>
      </c>
      <c r="J271" s="6">
        <v>501.43268951000005</v>
      </c>
      <c r="K271" s="6">
        <v>1900</v>
      </c>
      <c r="L271" s="6">
        <v>2500</v>
      </c>
      <c r="M271" s="6" t="s">
        <v>69</v>
      </c>
      <c r="N271" s="6">
        <v>13081.033299510005</v>
      </c>
      <c r="O271" s="6">
        <v>2649.7868214199998</v>
      </c>
      <c r="P271" s="6" t="s">
        <v>69</v>
      </c>
      <c r="Q271" s="6">
        <v>1029.5017817799999</v>
      </c>
      <c r="R271" s="6">
        <v>1078.3690281300001</v>
      </c>
      <c r="S271" s="6">
        <v>3844.0548686499997</v>
      </c>
      <c r="T271" s="6">
        <v>6867.903295789999</v>
      </c>
      <c r="U271" s="6">
        <v>137.72182611000002</v>
      </c>
      <c r="V271" s="6">
        <v>6.232E-5</v>
      </c>
      <c r="W271" s="6">
        <v>0.49281744000000016</v>
      </c>
      <c r="X271" s="6">
        <v>1982.1422689700003</v>
      </c>
      <c r="Y271" s="6">
        <v>44.40111369000001</v>
      </c>
      <c r="Z271" s="6">
        <v>59712</v>
      </c>
      <c r="AA271" s="6">
        <v>11736.461265360003</v>
      </c>
      <c r="AB271" s="6">
        <v>6563.8557838900006</v>
      </c>
      <c r="AC271" s="6">
        <v>1633.7149350700001</v>
      </c>
      <c r="AD271" s="6">
        <v>59.885691539999996</v>
      </c>
      <c r="AE271" s="6">
        <v>-1513.3745606200014</v>
      </c>
    </row>
    <row r="272" spans="1:31" ht="15.75" x14ac:dyDescent="0.25">
      <c r="A272" s="28">
        <v>43040</v>
      </c>
      <c r="B272" s="6">
        <v>44048.526836949997</v>
      </c>
      <c r="C272" s="6">
        <v>3375.3749518700001</v>
      </c>
      <c r="D272" s="6">
        <v>51820.862205240002</v>
      </c>
      <c r="E272" s="6">
        <v>24542.874001910001</v>
      </c>
      <c r="F272" s="6">
        <v>125.39491817000001</v>
      </c>
      <c r="G272" s="6">
        <v>16210.763685710001</v>
      </c>
      <c r="H272" s="6">
        <v>3920.37741353</v>
      </c>
      <c r="I272" s="6">
        <v>2232.0161023799997</v>
      </c>
      <c r="J272" s="6">
        <v>516.91154870000003</v>
      </c>
      <c r="K272" s="6">
        <v>2090</v>
      </c>
      <c r="L272" s="6">
        <v>3500</v>
      </c>
      <c r="M272" s="6" t="s">
        <v>69</v>
      </c>
      <c r="N272" s="6">
        <v>12752.44310857</v>
      </c>
      <c r="O272" s="6">
        <v>920.12770639000007</v>
      </c>
      <c r="P272" s="6" t="s">
        <v>69</v>
      </c>
      <c r="Q272" s="6">
        <v>1075.5835954700001</v>
      </c>
      <c r="R272" s="6">
        <v>1194.7204380999999</v>
      </c>
      <c r="S272" s="6">
        <v>4478.9442963399997</v>
      </c>
      <c r="T272" s="6">
        <v>6708.3514408199999</v>
      </c>
      <c r="U272" s="6">
        <v>136.25237921999999</v>
      </c>
      <c r="V272" s="6">
        <v>1.8295E-4</v>
      </c>
      <c r="W272" s="6">
        <v>0.19907016000000002</v>
      </c>
      <c r="X272" s="6">
        <v>2010.8091514099999</v>
      </c>
      <c r="Y272" s="6">
        <v>75.4764093</v>
      </c>
      <c r="Z272" s="6">
        <v>61248.3</v>
      </c>
      <c r="AA272" s="6">
        <v>12089.584519900003</v>
      </c>
      <c r="AB272" s="6">
        <v>6644.2596370400006</v>
      </c>
      <c r="AC272" s="6">
        <v>1754.8825385000002</v>
      </c>
      <c r="AD272" s="6">
        <v>61.525323579999991</v>
      </c>
      <c r="AE272" s="6">
        <v>-291.44860370000163</v>
      </c>
    </row>
    <row r="273" spans="1:31" ht="15.75" x14ac:dyDescent="0.25">
      <c r="A273" s="28">
        <v>43070</v>
      </c>
      <c r="B273" s="6">
        <v>50098.950261230006</v>
      </c>
      <c r="C273" s="6">
        <v>2961.6855263899997</v>
      </c>
      <c r="D273" s="6">
        <v>51971.805505620003</v>
      </c>
      <c r="E273" s="6">
        <v>21966.465295649999</v>
      </c>
      <c r="F273" s="6">
        <v>93.138956649999997</v>
      </c>
      <c r="G273" s="6">
        <v>17641.560620110002</v>
      </c>
      <c r="H273" s="6">
        <v>4612.8575618400009</v>
      </c>
      <c r="I273" s="6">
        <v>1701.36353016</v>
      </c>
      <c r="J273" s="6">
        <v>557.39970507999999</v>
      </c>
      <c r="K273" s="6">
        <v>2000</v>
      </c>
      <c r="L273" s="6">
        <v>1100</v>
      </c>
      <c r="M273" s="6" t="s">
        <v>69</v>
      </c>
      <c r="N273" s="6">
        <v>19845.82755984</v>
      </c>
      <c r="O273" s="6">
        <v>2088.0088734399997</v>
      </c>
      <c r="P273" s="6" t="s">
        <v>69</v>
      </c>
      <c r="Q273" s="6">
        <v>1074.4929210999999</v>
      </c>
      <c r="R273" s="6">
        <v>1230.0981349399999</v>
      </c>
      <c r="S273" s="6">
        <v>3716.1581921800002</v>
      </c>
      <c r="T273" s="6">
        <v>5868.9379417200007</v>
      </c>
      <c r="U273" s="6">
        <v>120.55524295999999</v>
      </c>
      <c r="V273" s="6">
        <v>1.579005E-2</v>
      </c>
      <c r="W273" s="6">
        <v>0.38635584000000001</v>
      </c>
      <c r="X273" s="6">
        <v>1776.8752498699998</v>
      </c>
      <c r="Y273" s="6">
        <v>57.395312159999996</v>
      </c>
      <c r="Z273" s="6">
        <v>61092.9</v>
      </c>
      <c r="AA273" s="6">
        <v>12100.658306649999</v>
      </c>
      <c r="AB273" s="6">
        <v>6656.63122208</v>
      </c>
      <c r="AC273" s="6">
        <v>1736.7988597800002</v>
      </c>
      <c r="AD273" s="6">
        <v>61.888813179999993</v>
      </c>
      <c r="AE273" s="6">
        <v>-713.40077179999946</v>
      </c>
    </row>
    <row r="274" spans="1:31" ht="15.75" x14ac:dyDescent="0.25">
      <c r="A274" s="28">
        <v>43101</v>
      </c>
      <c r="B274" s="6">
        <v>45057.459821840006</v>
      </c>
      <c r="C274" s="6">
        <v>3865.1060292100001</v>
      </c>
      <c r="D274" s="6">
        <v>60537.775697210003</v>
      </c>
      <c r="E274" s="6">
        <v>26184.55028458</v>
      </c>
      <c r="F274" s="6">
        <v>92.304300609999999</v>
      </c>
      <c r="G274" s="6">
        <v>16155.65465902</v>
      </c>
      <c r="H274" s="6">
        <v>4379.8986040900008</v>
      </c>
      <c r="I274" s="6">
        <v>2171.83982569</v>
      </c>
      <c r="J274" s="6">
        <v>556.20331191000002</v>
      </c>
      <c r="K274" s="6">
        <v>1750</v>
      </c>
      <c r="L274" s="6">
        <v>2000</v>
      </c>
      <c r="M274" s="6" t="s">
        <v>69</v>
      </c>
      <c r="N274" s="6">
        <v>8412.9728176400004</v>
      </c>
      <c r="O274" s="6">
        <v>610.55947990000004</v>
      </c>
      <c r="P274" s="6" t="s">
        <v>69</v>
      </c>
      <c r="Q274" s="6">
        <v>1303.8488495900001</v>
      </c>
      <c r="R274" s="6">
        <v>1162.31496455</v>
      </c>
      <c r="S274" s="6">
        <v>3644.6037530399999</v>
      </c>
      <c r="T274" s="6">
        <v>8056.7785806999973</v>
      </c>
      <c r="U274" s="6">
        <v>154.86983789000001</v>
      </c>
      <c r="V274" s="6">
        <v>6.232E-5</v>
      </c>
      <c r="W274" s="6">
        <v>0.26553055000000003</v>
      </c>
      <c r="X274" s="6">
        <v>2078.9061062300002</v>
      </c>
      <c r="Y274" s="6">
        <v>56.847988019999995</v>
      </c>
      <c r="Z274" s="6">
        <v>84296.8</v>
      </c>
      <c r="AA274" s="6">
        <v>18022.328567960001</v>
      </c>
      <c r="AB274" s="6">
        <v>9502.7251055700017</v>
      </c>
      <c r="AC274" s="6">
        <v>2065.5588048499999</v>
      </c>
      <c r="AD274" s="6">
        <v>60.976335429999999</v>
      </c>
      <c r="AE274" s="6">
        <v>967.27385797000352</v>
      </c>
    </row>
    <row r="275" spans="1:31" ht="15.75" x14ac:dyDescent="0.25">
      <c r="A275" s="28">
        <v>43132</v>
      </c>
      <c r="B275" s="6">
        <v>42109.199376930002</v>
      </c>
      <c r="C275" s="6">
        <v>3309.8059197500002</v>
      </c>
      <c r="D275" s="6">
        <v>57017.871942630001</v>
      </c>
      <c r="E275" s="6">
        <v>22187.343566290001</v>
      </c>
      <c r="F275" s="6">
        <v>109.61649143</v>
      </c>
      <c r="G275" s="6">
        <v>16856.068326460001</v>
      </c>
      <c r="H275" s="6">
        <v>4435.9782232000007</v>
      </c>
      <c r="I275" s="6">
        <v>1829.2155057399998</v>
      </c>
      <c r="J275" s="6">
        <v>561.57010441</v>
      </c>
      <c r="K275" s="6">
        <v>1500</v>
      </c>
      <c r="L275" s="6">
        <v>1500</v>
      </c>
      <c r="M275" s="6" t="s">
        <v>69</v>
      </c>
      <c r="N275" s="6">
        <v>12534.39321382</v>
      </c>
      <c r="O275" s="6">
        <v>663.59424561000003</v>
      </c>
      <c r="P275" s="6" t="s">
        <v>69</v>
      </c>
      <c r="Q275" s="6">
        <v>1197.48966922</v>
      </c>
      <c r="R275" s="6">
        <v>1008.32483071</v>
      </c>
      <c r="S275" s="6">
        <v>5623.2055043999999</v>
      </c>
      <c r="T275" s="6">
        <v>6297.4813683000002</v>
      </c>
      <c r="U275" s="6">
        <v>126.10240952999999</v>
      </c>
      <c r="V275" s="6">
        <v>6.232E-5</v>
      </c>
      <c r="W275" s="6">
        <v>0.90853680000000003</v>
      </c>
      <c r="X275" s="6">
        <v>1815.6940370499997</v>
      </c>
      <c r="Y275" s="6">
        <v>71.157836339999974</v>
      </c>
      <c r="Z275" s="6">
        <v>65888</v>
      </c>
      <c r="AA275" s="6">
        <v>13264.230935280002</v>
      </c>
      <c r="AB275" s="6">
        <v>6822.2131824800017</v>
      </c>
      <c r="AC275" s="6">
        <v>1885.6732166099998</v>
      </c>
      <c r="AD275" s="6">
        <v>59.482194319999998</v>
      </c>
      <c r="AE275" s="6">
        <v>1404.9455684800023</v>
      </c>
    </row>
    <row r="276" spans="1:31" ht="15.75" x14ac:dyDescent="0.25">
      <c r="A276" s="28">
        <v>43160</v>
      </c>
      <c r="B276" s="6">
        <v>45027.513786350006</v>
      </c>
      <c r="C276" s="6">
        <v>3529.8769100300001</v>
      </c>
      <c r="D276" s="6">
        <v>57569.498707120001</v>
      </c>
      <c r="E276" s="6">
        <v>24595.482301180004</v>
      </c>
      <c r="F276" s="6">
        <v>105.79016946</v>
      </c>
      <c r="G276" s="6">
        <v>16549.98066252</v>
      </c>
      <c r="H276" s="6">
        <v>3890.1495191500007</v>
      </c>
      <c r="I276" s="6">
        <v>1905.6792484699997</v>
      </c>
      <c r="J276" s="6">
        <v>467.46598190999998</v>
      </c>
      <c r="K276" s="6">
        <v>2200</v>
      </c>
      <c r="L276" s="6">
        <v>1500</v>
      </c>
      <c r="M276" s="6" t="s">
        <v>69</v>
      </c>
      <c r="N276" s="6">
        <v>7664.8861210400009</v>
      </c>
      <c r="O276" s="6">
        <v>1828.6727680999998</v>
      </c>
      <c r="P276" s="6" t="s">
        <v>69</v>
      </c>
      <c r="Q276" s="6">
        <v>1285.7160493700001</v>
      </c>
      <c r="R276" s="6">
        <v>1179.9054012899999</v>
      </c>
      <c r="S276" s="6">
        <v>3063.0733595000002</v>
      </c>
      <c r="T276" s="6">
        <v>6983.4889305500001</v>
      </c>
      <c r="U276" s="6">
        <v>141.42818155000001</v>
      </c>
      <c r="V276" s="6">
        <v>6.232E-5</v>
      </c>
      <c r="W276" s="6">
        <v>0.69863472999999998</v>
      </c>
      <c r="X276" s="6">
        <v>2045.0156690599997</v>
      </c>
      <c r="Y276" s="6">
        <v>70.982517239999993</v>
      </c>
      <c r="Z276" s="6">
        <v>66936.600000000006</v>
      </c>
      <c r="AA276" s="6">
        <v>13207.749751789996</v>
      </c>
      <c r="AB276" s="6">
        <v>7088.3946582900007</v>
      </c>
      <c r="AC276" s="6">
        <v>2166.7934366800005</v>
      </c>
      <c r="AD276" s="6">
        <v>63.405007549999993</v>
      </c>
      <c r="AE276" s="6">
        <v>-289.16397443999739</v>
      </c>
    </row>
    <row r="277" spans="1:31" ht="15.75" x14ac:dyDescent="0.25">
      <c r="A277" s="28">
        <v>43191</v>
      </c>
      <c r="B277" s="6">
        <v>37359.656107980001</v>
      </c>
      <c r="C277" s="6">
        <v>4231.6550069199993</v>
      </c>
      <c r="D277" s="6">
        <v>57740.725434270003</v>
      </c>
      <c r="E277" s="6">
        <v>26640.745078570002</v>
      </c>
      <c r="F277" s="6">
        <v>149.00406881000001</v>
      </c>
      <c r="G277" s="6">
        <v>15275.430615069999</v>
      </c>
      <c r="H277" s="6">
        <v>4374.4787697100001</v>
      </c>
      <c r="I277" s="6">
        <v>2575.75237677</v>
      </c>
      <c r="J277" s="6">
        <v>591.42340477999994</v>
      </c>
      <c r="K277" s="6">
        <v>1800</v>
      </c>
      <c r="L277" s="6">
        <v>5000</v>
      </c>
      <c r="M277" s="6" t="s">
        <v>69</v>
      </c>
      <c r="N277" s="6">
        <v>13084.541860939997</v>
      </c>
      <c r="O277" s="6">
        <v>550.62656391999997</v>
      </c>
      <c r="P277" s="6" t="s">
        <v>69</v>
      </c>
      <c r="Q277" s="6">
        <v>1250.2341865600004</v>
      </c>
      <c r="R277" s="6">
        <v>1168.2689295999999</v>
      </c>
      <c r="S277" s="6">
        <v>8779.7223956499984</v>
      </c>
      <c r="T277" s="6">
        <v>7655.05859246</v>
      </c>
      <c r="U277" s="6">
        <v>149.92098078000001</v>
      </c>
      <c r="V277" s="6">
        <v>6.232E-5</v>
      </c>
      <c r="W277" s="6">
        <v>0.91001778999999994</v>
      </c>
      <c r="X277" s="6">
        <v>2228.5042270399999</v>
      </c>
      <c r="Y277" s="6">
        <v>74.897039019999994</v>
      </c>
      <c r="Z277" s="6">
        <v>68153.7</v>
      </c>
      <c r="AA277" s="6">
        <v>13517.257550069997</v>
      </c>
      <c r="AB277" s="6">
        <v>7051.28882789</v>
      </c>
      <c r="AC277" s="6">
        <v>2191.9312937</v>
      </c>
      <c r="AD277" s="6">
        <v>75.471675879999978</v>
      </c>
      <c r="AE277" s="6">
        <v>-2634.4233101100031</v>
      </c>
    </row>
    <row r="278" spans="1:31" ht="15.75" x14ac:dyDescent="0.25">
      <c r="A278" s="28">
        <v>43221</v>
      </c>
      <c r="B278" s="6">
        <v>71742.637797179996</v>
      </c>
      <c r="C278" s="6">
        <v>4676.1090486599996</v>
      </c>
      <c r="D278" s="6">
        <v>57784.506606089999</v>
      </c>
      <c r="E278" s="6">
        <v>30889.732290740001</v>
      </c>
      <c r="F278" s="6">
        <v>141.47956889</v>
      </c>
      <c r="G278" s="6">
        <v>19066.148147920001</v>
      </c>
      <c r="H278" s="6">
        <v>3970.1716769500008</v>
      </c>
      <c r="I278" s="6">
        <v>2476.33083399</v>
      </c>
      <c r="J278" s="6">
        <v>491.18583152000008</v>
      </c>
      <c r="K278" s="6">
        <v>1350</v>
      </c>
      <c r="L278" s="6">
        <v>1700</v>
      </c>
      <c r="M278" s="6" t="s">
        <v>69</v>
      </c>
      <c r="N278" s="6">
        <v>16333.775272769997</v>
      </c>
      <c r="O278" s="6">
        <v>602.93739856999991</v>
      </c>
      <c r="P278" s="6" t="s">
        <v>69</v>
      </c>
      <c r="Q278" s="6">
        <v>1253.7214259699999</v>
      </c>
      <c r="R278" s="6">
        <v>1322.41632903</v>
      </c>
      <c r="S278" s="6">
        <v>10841.87422127</v>
      </c>
      <c r="T278" s="6">
        <v>8575.8994622200025</v>
      </c>
      <c r="U278" s="6">
        <v>174.36192202999993</v>
      </c>
      <c r="V278" s="6">
        <v>6.232E-5</v>
      </c>
      <c r="W278" s="6">
        <v>0.2427657</v>
      </c>
      <c r="X278" s="6">
        <v>2501.6912261800003</v>
      </c>
      <c r="Y278" s="6">
        <v>96.53134851999998</v>
      </c>
      <c r="Z278" s="6">
        <v>68355.600000000006</v>
      </c>
      <c r="AA278" s="6">
        <v>13747.686197159999</v>
      </c>
      <c r="AB278" s="6">
        <v>7255.865437800001</v>
      </c>
      <c r="AC278" s="6">
        <v>2288.4048764599993</v>
      </c>
      <c r="AD278" s="6">
        <v>78.143848439999999</v>
      </c>
      <c r="AE278" s="6">
        <v>4371.8945597300008</v>
      </c>
    </row>
    <row r="279" spans="1:31" ht="15.75" x14ac:dyDescent="0.25">
      <c r="A279" s="28">
        <v>43252</v>
      </c>
      <c r="B279" s="6">
        <v>86227.87119048</v>
      </c>
      <c r="C279" s="6">
        <v>4122.51879732</v>
      </c>
      <c r="D279" s="6">
        <v>63409.226087379997</v>
      </c>
      <c r="E279" s="6">
        <v>29718.254555039999</v>
      </c>
      <c r="F279" s="6">
        <v>702.13797710000017</v>
      </c>
      <c r="G279" s="6">
        <v>20176.360990190002</v>
      </c>
      <c r="H279" s="6">
        <v>3972.9313921900002</v>
      </c>
      <c r="I279" s="6">
        <v>1708.8075195199999</v>
      </c>
      <c r="J279" s="6">
        <v>545.09962469000004</v>
      </c>
      <c r="K279" s="6">
        <v>1000</v>
      </c>
      <c r="L279" s="6">
        <v>2550</v>
      </c>
      <c r="M279" s="6" t="s">
        <v>69</v>
      </c>
      <c r="N279" s="6">
        <v>13485.448898479999</v>
      </c>
      <c r="O279" s="6">
        <v>3574.7371392699997</v>
      </c>
      <c r="P279" s="6" t="s">
        <v>69</v>
      </c>
      <c r="Q279" s="6">
        <v>1287.3655261699998</v>
      </c>
      <c r="R279" s="6">
        <v>1375.8158582099998</v>
      </c>
      <c r="S279" s="6">
        <v>10727.933071990001</v>
      </c>
      <c r="T279" s="6">
        <v>8243.1168970900017</v>
      </c>
      <c r="U279" s="6">
        <v>168.45887682999998</v>
      </c>
      <c r="V279" s="6">
        <v>7.1229000000000008E-4</v>
      </c>
      <c r="W279" s="6">
        <v>0.24892455999999999</v>
      </c>
      <c r="X279" s="6">
        <v>2260.9346999099998</v>
      </c>
      <c r="Y279" s="6">
        <v>71.081696980000004</v>
      </c>
      <c r="Z279" s="6">
        <v>69892.3</v>
      </c>
      <c r="AA279" s="6">
        <v>13486.152834990002</v>
      </c>
      <c r="AB279" s="6">
        <v>7036.2839393699987</v>
      </c>
      <c r="AC279" s="6">
        <v>2244.3612455099997</v>
      </c>
      <c r="AD279" s="6">
        <v>72.008391099999997</v>
      </c>
      <c r="AE279" s="6">
        <v>-12858.404384859999</v>
      </c>
    </row>
    <row r="280" spans="1:31" ht="15.75" x14ac:dyDescent="0.25">
      <c r="A280" s="28">
        <v>43282</v>
      </c>
      <c r="B280" s="6">
        <v>55072.845927099996</v>
      </c>
      <c r="C280" s="6">
        <v>4630.4792963700002</v>
      </c>
      <c r="D280" s="6">
        <v>60083.195914430005</v>
      </c>
      <c r="E280" s="6">
        <v>34220.880580800003</v>
      </c>
      <c r="F280" s="6">
        <v>112.38816575999999</v>
      </c>
      <c r="G280" s="6">
        <v>18738.903276550001</v>
      </c>
      <c r="H280" s="6">
        <v>4060.3888258400002</v>
      </c>
      <c r="I280" s="6">
        <v>1649.3986393299997</v>
      </c>
      <c r="J280" s="6">
        <v>552.69302096000001</v>
      </c>
      <c r="K280" s="6">
        <v>2850</v>
      </c>
      <c r="L280" s="6">
        <v>3900</v>
      </c>
      <c r="M280" s="6" t="s">
        <v>69</v>
      </c>
      <c r="N280" s="6">
        <v>15043.049739829999</v>
      </c>
      <c r="O280" s="6">
        <v>1215.6898666299999</v>
      </c>
      <c r="P280" s="6" t="s">
        <v>69</v>
      </c>
      <c r="Q280" s="6">
        <v>1365.9999645600005</v>
      </c>
      <c r="R280" s="6">
        <v>1265.1898454899999</v>
      </c>
      <c r="S280" s="6">
        <v>7354.8292787199998</v>
      </c>
      <c r="T280" s="6">
        <v>9766.9090255799983</v>
      </c>
      <c r="U280" s="6">
        <v>199.28664983999997</v>
      </c>
      <c r="V280" s="6">
        <v>6.4469999999999998E-5</v>
      </c>
      <c r="W280" s="6">
        <v>0.17759320000000003</v>
      </c>
      <c r="X280" s="6">
        <v>2628.1553203799995</v>
      </c>
      <c r="Y280" s="6">
        <v>63.246007410000004</v>
      </c>
      <c r="Z280" s="6">
        <v>89157.2</v>
      </c>
      <c r="AA280" s="6">
        <v>19669.842557080003</v>
      </c>
      <c r="AB280" s="6">
        <v>9739.9475331800004</v>
      </c>
      <c r="AC280" s="6">
        <v>2305.0944659199995</v>
      </c>
      <c r="AD280" s="6">
        <v>75.76887653</v>
      </c>
      <c r="AE280" s="6">
        <v>659.32291598000347</v>
      </c>
    </row>
    <row r="281" spans="1:31" ht="15.75" x14ac:dyDescent="0.25">
      <c r="A281" s="28">
        <v>43313</v>
      </c>
      <c r="B281" s="6">
        <v>63775.474707820002</v>
      </c>
      <c r="C281" s="6">
        <v>4925.4002442000001</v>
      </c>
      <c r="D281" s="6">
        <v>63155.142508030003</v>
      </c>
      <c r="E281" s="6">
        <v>36910.958388840001</v>
      </c>
      <c r="F281" s="6">
        <v>160.15908344999997</v>
      </c>
      <c r="G281" s="6">
        <v>20745.336284010002</v>
      </c>
      <c r="H281" s="6">
        <v>3575.1343265399996</v>
      </c>
      <c r="I281" s="6">
        <v>1854.2629238100005</v>
      </c>
      <c r="J281" s="6">
        <v>496.12516969000001</v>
      </c>
      <c r="K281" s="6">
        <v>1950</v>
      </c>
      <c r="L281" s="6">
        <v>3750</v>
      </c>
      <c r="M281" s="6" t="s">
        <v>69</v>
      </c>
      <c r="N281" s="6">
        <v>16429.729390239998</v>
      </c>
      <c r="O281" s="6">
        <v>1771.5565717099998</v>
      </c>
      <c r="P281" s="6" t="s">
        <v>69</v>
      </c>
      <c r="Q281" s="6">
        <v>1442.3270376099999</v>
      </c>
      <c r="R281" s="6">
        <v>1302.06547024</v>
      </c>
      <c r="S281" s="6">
        <v>6358.5721665500005</v>
      </c>
      <c r="T281" s="6">
        <v>10786.721084389999</v>
      </c>
      <c r="U281" s="6">
        <v>219.72542951</v>
      </c>
      <c r="V281" s="6">
        <v>7.5829999999999997E-5</v>
      </c>
      <c r="W281" s="6">
        <v>0.18486156999999998</v>
      </c>
      <c r="X281" s="6">
        <v>2897.5128239299997</v>
      </c>
      <c r="Y281" s="6">
        <v>110.80613897000003</v>
      </c>
      <c r="Z281" s="6">
        <v>70165.2</v>
      </c>
      <c r="AA281" s="6">
        <v>14545.838109799999</v>
      </c>
      <c r="AB281" s="6">
        <v>7682.3439763099996</v>
      </c>
      <c r="AC281" s="6">
        <v>2134.6687341500001</v>
      </c>
      <c r="AD281" s="6">
        <v>76.157559179999993</v>
      </c>
      <c r="AE281" s="6">
        <v>286.4709249899974</v>
      </c>
    </row>
    <row r="282" spans="1:31" ht="15.75" x14ac:dyDescent="0.25">
      <c r="A282" s="28">
        <v>43344</v>
      </c>
      <c r="B282" s="6">
        <v>54260.667351030002</v>
      </c>
      <c r="C282" s="6">
        <v>5137.1150645900007</v>
      </c>
      <c r="D282" s="6">
        <v>65674.612885779992</v>
      </c>
      <c r="E282" s="6">
        <v>39395.395464889996</v>
      </c>
      <c r="F282" s="6">
        <v>151.91307552999999</v>
      </c>
      <c r="G282" s="6">
        <v>22268.176493160005</v>
      </c>
      <c r="H282" s="6">
        <v>4354.2655111699987</v>
      </c>
      <c r="I282" s="6">
        <v>1720.87208405</v>
      </c>
      <c r="J282" s="6">
        <v>621.31088063000016</v>
      </c>
      <c r="K282" s="6">
        <v>1500</v>
      </c>
      <c r="L282" s="6">
        <v>3500</v>
      </c>
      <c r="M282" s="6" t="s">
        <v>69</v>
      </c>
      <c r="N282" s="6">
        <v>14478.737763329995</v>
      </c>
      <c r="O282" s="6">
        <v>765.61698730000012</v>
      </c>
      <c r="P282" s="6" t="s">
        <v>69</v>
      </c>
      <c r="Q282" s="6">
        <v>1413.3979498900001</v>
      </c>
      <c r="R282" s="6">
        <v>1302.0065299199998</v>
      </c>
      <c r="S282" s="6">
        <v>13206.703663730001</v>
      </c>
      <c r="T282" s="6">
        <v>10248.635646780001</v>
      </c>
      <c r="U282" s="6">
        <v>220.24743212999996</v>
      </c>
      <c r="V282" s="6">
        <v>6.2689999999999998E-5</v>
      </c>
      <c r="W282" s="6">
        <v>0.60400494999999998</v>
      </c>
      <c r="X282" s="6">
        <v>2781.72730017</v>
      </c>
      <c r="Y282" s="6">
        <v>113.46627879999998</v>
      </c>
      <c r="Z282" s="6">
        <v>70779.199999999997</v>
      </c>
      <c r="AA282" s="6">
        <v>14252.483389170002</v>
      </c>
      <c r="AB282" s="6">
        <v>7351.1479646899998</v>
      </c>
      <c r="AC282" s="6">
        <v>2361.335141309999</v>
      </c>
      <c r="AD282" s="6">
        <v>74.103358319999998</v>
      </c>
      <c r="AE282" s="6">
        <v>-722.23636316999841</v>
      </c>
    </row>
    <row r="283" spans="1:31" ht="15.75" x14ac:dyDescent="0.25">
      <c r="A283" s="28">
        <v>43374</v>
      </c>
      <c r="B283" s="6">
        <v>58199.779024189993</v>
      </c>
      <c r="C283" s="6">
        <v>5543.0717179299991</v>
      </c>
      <c r="D283" s="6">
        <v>73902.434644039997</v>
      </c>
      <c r="E283" s="6">
        <v>39359.977622070001</v>
      </c>
      <c r="F283" s="6">
        <v>120.61505357</v>
      </c>
      <c r="G283" s="6">
        <v>21510.462626820001</v>
      </c>
      <c r="H283" s="6">
        <v>4427.1407970500004</v>
      </c>
      <c r="I283" s="6">
        <v>2145.6980645799999</v>
      </c>
      <c r="J283" s="6">
        <v>568.91690041999993</v>
      </c>
      <c r="K283" s="6">
        <v>2500</v>
      </c>
      <c r="L283" s="6">
        <v>3700</v>
      </c>
      <c r="M283" s="6" t="s">
        <v>69</v>
      </c>
      <c r="N283" s="6">
        <v>12511.542629489999</v>
      </c>
      <c r="O283" s="6">
        <v>1290.05802277</v>
      </c>
      <c r="P283" s="6" t="s">
        <v>69</v>
      </c>
      <c r="Q283" s="6">
        <v>1441.7316990300003</v>
      </c>
      <c r="R283" s="6">
        <v>1235.64677183</v>
      </c>
      <c r="S283" s="6">
        <v>14051.083478050001</v>
      </c>
      <c r="T283" s="6">
        <v>11326.213842780002</v>
      </c>
      <c r="U283" s="6">
        <v>251.32478678000001</v>
      </c>
      <c r="V283" s="6">
        <v>6.232E-5</v>
      </c>
      <c r="W283" s="6">
        <v>1.4666835299999998</v>
      </c>
      <c r="X283" s="6">
        <v>3014.0101279999999</v>
      </c>
      <c r="Y283" s="6">
        <v>114.2974632</v>
      </c>
      <c r="Z283" s="6">
        <v>74578.899999999994</v>
      </c>
      <c r="AA283" s="6">
        <v>14927.611286720005</v>
      </c>
      <c r="AB283" s="6">
        <v>7763.3092417899998</v>
      </c>
      <c r="AC283" s="6">
        <v>2287.5781889499995</v>
      </c>
      <c r="AD283" s="6">
        <v>77.015727029999994</v>
      </c>
      <c r="AE283" s="6">
        <v>7.1254852900005936</v>
      </c>
    </row>
    <row r="284" spans="1:31" ht="15.75" x14ac:dyDescent="0.25">
      <c r="A284" s="28">
        <v>43405</v>
      </c>
      <c r="B284" s="6">
        <v>60921.821261619996</v>
      </c>
      <c r="C284" s="6">
        <v>4493.33637619</v>
      </c>
      <c r="D284" s="6">
        <v>73188.359659239999</v>
      </c>
      <c r="E284" s="6">
        <v>26103.680305860002</v>
      </c>
      <c r="F284" s="6">
        <v>127.67605645999998</v>
      </c>
      <c r="G284" s="6">
        <v>23562.22530563</v>
      </c>
      <c r="H284" s="6">
        <v>4434.500901559999</v>
      </c>
      <c r="I284" s="6">
        <v>1801.0596071199998</v>
      </c>
      <c r="J284" s="6">
        <v>600.15386201000001</v>
      </c>
      <c r="K284" s="6">
        <v>2500</v>
      </c>
      <c r="L284" s="6">
        <v>3350</v>
      </c>
      <c r="M284" s="6" t="s">
        <v>69</v>
      </c>
      <c r="N284" s="6">
        <v>13635.401225109998</v>
      </c>
      <c r="O284" s="6">
        <v>430.11890641000002</v>
      </c>
      <c r="P284" s="6" t="s">
        <v>69</v>
      </c>
      <c r="Q284" s="6">
        <v>1359.25377723</v>
      </c>
      <c r="R284" s="6">
        <v>1419.0893233300001</v>
      </c>
      <c r="S284" s="6">
        <v>14714.57216924</v>
      </c>
      <c r="T284" s="6">
        <v>8818.315473409999</v>
      </c>
      <c r="U284" s="6">
        <v>201.20888919999999</v>
      </c>
      <c r="V284" s="6">
        <v>6.232E-5</v>
      </c>
      <c r="W284" s="6">
        <v>0.88198613999999986</v>
      </c>
      <c r="X284" s="6">
        <v>2365.8903598999996</v>
      </c>
      <c r="Y284" s="6">
        <v>107.42403546</v>
      </c>
      <c r="Z284" s="6">
        <v>75236.399999999994</v>
      </c>
      <c r="AA284" s="6">
        <v>15182.633796050004</v>
      </c>
      <c r="AB284" s="6">
        <v>7763.8445614199991</v>
      </c>
      <c r="AC284" s="6">
        <v>2423.8026447699999</v>
      </c>
      <c r="AD284" s="6">
        <v>74.653830049999982</v>
      </c>
      <c r="AE284" s="6">
        <v>-90.655202669999099</v>
      </c>
    </row>
    <row r="285" spans="1:31" ht="15.75" x14ac:dyDescent="0.25">
      <c r="A285" s="28">
        <v>43435</v>
      </c>
      <c r="B285" s="6">
        <v>69745.413873329991</v>
      </c>
      <c r="C285" s="6">
        <v>4087.57110478</v>
      </c>
      <c r="D285" s="6">
        <v>77655.924758790003</v>
      </c>
      <c r="E285" s="6">
        <v>24054.014490230002</v>
      </c>
      <c r="F285" s="6">
        <v>81.684533869999996</v>
      </c>
      <c r="G285" s="6">
        <v>23395.187587430002</v>
      </c>
      <c r="H285" s="6">
        <v>5472.1421474400004</v>
      </c>
      <c r="I285" s="6">
        <v>2137.7277037999997</v>
      </c>
      <c r="J285" s="6">
        <v>761.43342103000009</v>
      </c>
      <c r="K285" s="6">
        <v>2500</v>
      </c>
      <c r="L285" s="6">
        <v>2150</v>
      </c>
      <c r="M285" s="6" t="s">
        <v>69</v>
      </c>
      <c r="N285" s="6">
        <v>21394.528943820002</v>
      </c>
      <c r="O285" s="6">
        <v>1212.9858614699999</v>
      </c>
      <c r="P285" s="6" t="s">
        <v>69</v>
      </c>
      <c r="Q285" s="6">
        <v>1451.2216538199998</v>
      </c>
      <c r="R285" s="6">
        <v>1274.40559207</v>
      </c>
      <c r="S285" s="6">
        <v>15794.18383039</v>
      </c>
      <c r="T285" s="6">
        <v>8232.131562999999</v>
      </c>
      <c r="U285" s="6">
        <v>180.37649439999998</v>
      </c>
      <c r="V285" s="6">
        <v>1.4859000000000001E-4</v>
      </c>
      <c r="W285" s="6">
        <v>-0.97830892000000036</v>
      </c>
      <c r="X285" s="6">
        <v>2117.0252062700006</v>
      </c>
      <c r="Y285" s="6">
        <v>74.638216800000009</v>
      </c>
      <c r="Z285" s="6">
        <v>75615</v>
      </c>
      <c r="AA285" s="6">
        <v>15460.246477109999</v>
      </c>
      <c r="AB285" s="6">
        <v>7800.0314178500003</v>
      </c>
      <c r="AC285" s="6">
        <v>2033.2395184</v>
      </c>
      <c r="AD285" s="6">
        <v>74.419723529999999</v>
      </c>
      <c r="AE285" s="6">
        <v>237.50602420999994</v>
      </c>
    </row>
    <row r="286" spans="1:31" ht="15.75" x14ac:dyDescent="0.25">
      <c r="A286" s="28">
        <v>43466</v>
      </c>
      <c r="B286" s="6">
        <v>66534.422438189999</v>
      </c>
      <c r="C286" s="6">
        <v>4765.4802334599999</v>
      </c>
      <c r="D286" s="6">
        <v>90413.178875530008</v>
      </c>
      <c r="E286" s="6">
        <v>26829.254575630002</v>
      </c>
      <c r="F286" s="6">
        <v>32.613415979999999</v>
      </c>
      <c r="G286" s="6">
        <v>24345.147495159999</v>
      </c>
      <c r="H286" s="6">
        <v>5471.4668270800003</v>
      </c>
      <c r="I286" s="6">
        <v>1978.7879959999996</v>
      </c>
      <c r="J286" s="6">
        <v>682.82694290999996</v>
      </c>
      <c r="K286" s="6">
        <v>2500</v>
      </c>
      <c r="L286" s="6">
        <v>2520</v>
      </c>
      <c r="M286" s="6" t="s">
        <v>69</v>
      </c>
      <c r="N286" s="6">
        <v>12931.593542839997</v>
      </c>
      <c r="O286" s="6">
        <v>400.30059750999999</v>
      </c>
      <c r="P286" s="6" t="s">
        <v>69</v>
      </c>
      <c r="Q286" s="6">
        <v>1723.7707767400002</v>
      </c>
      <c r="R286" s="6">
        <v>1351.4366145299998</v>
      </c>
      <c r="S286" s="6">
        <v>15572.576543390001</v>
      </c>
      <c r="T286" s="6">
        <v>9465.3248420100008</v>
      </c>
      <c r="U286" s="6">
        <v>208.43927499</v>
      </c>
      <c r="V286" s="6">
        <v>6.232E-5</v>
      </c>
      <c r="W286" s="6">
        <v>0.92239389000000016</v>
      </c>
      <c r="X286" s="6">
        <v>2351.8146676899996</v>
      </c>
      <c r="Y286" s="6">
        <v>66.462061869999985</v>
      </c>
      <c r="Z286" s="6">
        <v>108908.9</v>
      </c>
      <c r="AA286" s="6">
        <v>23168.398674039996</v>
      </c>
      <c r="AB286" s="6">
        <v>11559.60350978</v>
      </c>
      <c r="AC286" s="6">
        <v>2693.46097994</v>
      </c>
      <c r="AD286" s="6">
        <v>82.520453840000002</v>
      </c>
      <c r="AE286" s="6">
        <v>274.5778857599999</v>
      </c>
    </row>
    <row r="287" spans="1:31" ht="15.75" x14ac:dyDescent="0.25">
      <c r="A287" s="28">
        <v>43497</v>
      </c>
      <c r="B287" s="6">
        <v>65479.897923519995</v>
      </c>
      <c r="C287" s="6">
        <v>3961.28901339</v>
      </c>
      <c r="D287" s="6">
        <v>81666.951129960013</v>
      </c>
      <c r="E287" s="6">
        <v>24164.827468539996</v>
      </c>
      <c r="F287" s="6">
        <v>94.742305200000018</v>
      </c>
      <c r="G287" s="6">
        <v>24835.01850867</v>
      </c>
      <c r="H287" s="6">
        <v>5377.7755496199998</v>
      </c>
      <c r="I287" s="6">
        <v>1495.1674935799999</v>
      </c>
      <c r="J287" s="6">
        <v>711.30685704999996</v>
      </c>
      <c r="K287" s="6">
        <v>2050</v>
      </c>
      <c r="L287" s="6">
        <v>1600</v>
      </c>
      <c r="M287" s="6" t="s">
        <v>69</v>
      </c>
      <c r="N287" s="6">
        <v>16719.642407190004</v>
      </c>
      <c r="O287" s="6">
        <v>1185.5315345700001</v>
      </c>
      <c r="P287" s="6" t="s">
        <v>69</v>
      </c>
      <c r="Q287" s="6">
        <v>1652.3835405800003</v>
      </c>
      <c r="R287" s="6">
        <v>1079.69400655</v>
      </c>
      <c r="S287" s="6">
        <v>17592.407765149997</v>
      </c>
      <c r="T287" s="6">
        <v>7683.3673449800017</v>
      </c>
      <c r="U287" s="6">
        <v>173.38113447999999</v>
      </c>
      <c r="V287" s="6">
        <v>0.10543008000000001</v>
      </c>
      <c r="W287" s="6">
        <v>0.56286544999999999</v>
      </c>
      <c r="X287" s="6">
        <v>2130.5824365499993</v>
      </c>
      <c r="Y287" s="6">
        <v>121.22812854999999</v>
      </c>
      <c r="Z287" s="6">
        <v>85859.8</v>
      </c>
      <c r="AA287" s="6">
        <v>17695.322428119998</v>
      </c>
      <c r="AB287" s="6">
        <v>8841.9780080600012</v>
      </c>
      <c r="AC287" s="6">
        <v>2662.8263850500002</v>
      </c>
      <c r="AD287" s="6">
        <v>74.196139970000004</v>
      </c>
      <c r="AE287" s="6">
        <v>-61.932294550001842</v>
      </c>
    </row>
    <row r="288" spans="1:31" ht="15.75" x14ac:dyDescent="0.25">
      <c r="A288" s="28">
        <v>43525</v>
      </c>
      <c r="B288" s="6">
        <v>56037.813143019994</v>
      </c>
      <c r="C288" s="6">
        <v>4652.2451566800009</v>
      </c>
      <c r="D288" s="6">
        <v>81867.938479759992</v>
      </c>
      <c r="E288" s="6">
        <v>27029.01150312</v>
      </c>
      <c r="F288" s="6">
        <v>46.504529000000012</v>
      </c>
      <c r="G288" s="6">
        <v>22336.681538420002</v>
      </c>
      <c r="H288" s="6">
        <v>5328.0143817299995</v>
      </c>
      <c r="I288" s="6">
        <v>1612.1660532599999</v>
      </c>
      <c r="J288" s="6">
        <v>657.97717193000005</v>
      </c>
      <c r="K288" s="6">
        <v>500</v>
      </c>
      <c r="L288" s="6">
        <v>1500</v>
      </c>
      <c r="M288" s="6" t="s">
        <v>69</v>
      </c>
      <c r="N288" s="6">
        <v>15014.777932049999</v>
      </c>
      <c r="O288" s="6">
        <v>345.99806673000001</v>
      </c>
      <c r="P288" s="6" t="s">
        <v>69</v>
      </c>
      <c r="Q288" s="6">
        <v>1539.6119632000004</v>
      </c>
      <c r="R288" s="6">
        <v>1162.4893563800001</v>
      </c>
      <c r="S288" s="6">
        <v>18166.377616369999</v>
      </c>
      <c r="T288" s="6">
        <v>9254.6556945500015</v>
      </c>
      <c r="U288" s="6">
        <v>206.50022718999998</v>
      </c>
      <c r="V288" s="6">
        <v>0.38127100000000003</v>
      </c>
      <c r="W288" s="6">
        <v>0.59222956000000027</v>
      </c>
      <c r="X288" s="6">
        <v>2482.8584615999998</v>
      </c>
      <c r="Y288" s="6">
        <v>94.868480080000012</v>
      </c>
      <c r="Z288" s="6">
        <v>85138.8</v>
      </c>
      <c r="AA288" s="6">
        <v>17621.201963750002</v>
      </c>
      <c r="AB288" s="6">
        <v>8766.1623328099995</v>
      </c>
      <c r="AC288" s="6">
        <v>3038.60198386</v>
      </c>
      <c r="AD288" s="6">
        <v>68.93180064000002</v>
      </c>
      <c r="AE288" s="6">
        <v>3358.8601716599997</v>
      </c>
    </row>
    <row r="289" spans="1:31" ht="15.75" x14ac:dyDescent="0.25">
      <c r="A289" s="28">
        <v>43556</v>
      </c>
      <c r="B289" s="6">
        <v>67581.900841780007</v>
      </c>
      <c r="C289" s="6">
        <v>5201.05729324</v>
      </c>
      <c r="D289" s="6">
        <v>89469.759984689998</v>
      </c>
      <c r="E289" s="6">
        <v>31030.216302270001</v>
      </c>
      <c r="F289" s="6">
        <v>36.921171539999996</v>
      </c>
      <c r="G289" s="6">
        <v>23686.727847800001</v>
      </c>
      <c r="H289" s="6">
        <v>5393.5704874300009</v>
      </c>
      <c r="I289" s="6">
        <v>1638.9185046700004</v>
      </c>
      <c r="J289" s="6">
        <v>726.68223350999995</v>
      </c>
      <c r="K289" s="6">
        <v>3300</v>
      </c>
      <c r="L289" s="6">
        <v>2300</v>
      </c>
      <c r="M289" s="6" t="s">
        <v>69</v>
      </c>
      <c r="N289" s="6">
        <v>18619.580717540004</v>
      </c>
      <c r="O289" s="6">
        <v>1172.8487420900001</v>
      </c>
      <c r="P289" s="6" t="s">
        <v>69</v>
      </c>
      <c r="Q289" s="6">
        <v>1688.9298754299998</v>
      </c>
      <c r="R289" s="6">
        <v>1368.43449422</v>
      </c>
      <c r="S289" s="6">
        <v>23820.329977580001</v>
      </c>
      <c r="T289" s="6">
        <v>8438.7457742000006</v>
      </c>
      <c r="U289" s="6">
        <v>205.19207165000003</v>
      </c>
      <c r="V289" s="6">
        <v>3.406737E-2</v>
      </c>
      <c r="W289" s="6">
        <v>1.3683181000000002</v>
      </c>
      <c r="X289" s="6">
        <v>2649.5280082400009</v>
      </c>
      <c r="Y289" s="6">
        <v>95.691187479999996</v>
      </c>
      <c r="Z289" s="6">
        <v>95775.2</v>
      </c>
      <c r="AA289" s="6">
        <v>18630.179137450003</v>
      </c>
      <c r="AB289" s="6">
        <v>9075.046327</v>
      </c>
      <c r="AC289" s="6">
        <v>2607.2401447799994</v>
      </c>
      <c r="AD289" s="6">
        <v>91.323344779999985</v>
      </c>
      <c r="AE289" s="6">
        <v>-3126.9976839100009</v>
      </c>
    </row>
    <row r="290" spans="1:31" ht="15.75" x14ac:dyDescent="0.25">
      <c r="A290" s="28">
        <v>43586</v>
      </c>
      <c r="B290" s="6">
        <v>122835.10381036</v>
      </c>
      <c r="C290" s="6">
        <v>6221.3253002700003</v>
      </c>
      <c r="D290" s="6">
        <v>86081.674356930002</v>
      </c>
      <c r="E290" s="6">
        <v>45391.628057440001</v>
      </c>
      <c r="F290" s="6">
        <v>107.33155175999998</v>
      </c>
      <c r="G290" s="6">
        <v>28704.375087479999</v>
      </c>
      <c r="H290" s="6">
        <v>5500.5118079499989</v>
      </c>
      <c r="I290" s="6">
        <v>1241.7843650100001</v>
      </c>
      <c r="J290" s="6">
        <v>691.01091482999982</v>
      </c>
      <c r="K290" s="6">
        <v>5300</v>
      </c>
      <c r="L290" s="6">
        <v>4500</v>
      </c>
      <c r="M290" s="6" t="s">
        <v>69</v>
      </c>
      <c r="N290" s="6">
        <v>12836.11177023</v>
      </c>
      <c r="O290" s="6">
        <v>535.76218709</v>
      </c>
      <c r="P290" s="6" t="s">
        <v>69</v>
      </c>
      <c r="Q290" s="6">
        <v>1649.2314242899999</v>
      </c>
      <c r="R290" s="6">
        <v>1555.8174597399998</v>
      </c>
      <c r="S290" s="6">
        <v>38425.09384827</v>
      </c>
      <c r="T290" s="6">
        <v>11247.684004540002</v>
      </c>
      <c r="U290" s="6">
        <v>2972.6329139499999</v>
      </c>
      <c r="V290" s="6">
        <v>6.5870000000000005E-5</v>
      </c>
      <c r="W290" s="6">
        <v>2.2590841099999999</v>
      </c>
      <c r="X290" s="6">
        <v>3265.6425235000002</v>
      </c>
      <c r="Y290" s="6">
        <v>105.91184963999997</v>
      </c>
      <c r="Z290" s="6">
        <v>86518.9</v>
      </c>
      <c r="AA290" s="6">
        <v>18784.906075889994</v>
      </c>
      <c r="AB290" s="6">
        <v>9374.9432384799984</v>
      </c>
      <c r="AC290" s="6">
        <v>2930.7729570400002</v>
      </c>
      <c r="AD290" s="6">
        <v>93.984246920000004</v>
      </c>
      <c r="AE290" s="6">
        <v>1123.7610968100023</v>
      </c>
    </row>
    <row r="291" spans="1:31" ht="15.75" x14ac:dyDescent="0.25">
      <c r="A291" s="28">
        <v>43617</v>
      </c>
      <c r="B291" s="6">
        <v>131296.88988348999</v>
      </c>
      <c r="C291" s="6">
        <v>5556.6374715700003</v>
      </c>
      <c r="D291" s="6">
        <v>90942.989319319997</v>
      </c>
      <c r="E291" s="6">
        <v>38965.020933380001</v>
      </c>
      <c r="F291" s="6">
        <v>1010.6551408399999</v>
      </c>
      <c r="G291" s="6">
        <v>27330.99554068</v>
      </c>
      <c r="H291" s="6">
        <v>5491.59705424</v>
      </c>
      <c r="I291" s="6">
        <v>1348.0474674900001</v>
      </c>
      <c r="J291" s="6">
        <v>705.84259061000012</v>
      </c>
      <c r="K291" s="6">
        <v>2500</v>
      </c>
      <c r="L291" s="6">
        <v>3600</v>
      </c>
      <c r="M291" s="6" t="s">
        <v>69</v>
      </c>
      <c r="N291" s="6">
        <v>17374.62065777</v>
      </c>
      <c r="O291" s="6">
        <v>6384.9523516600002</v>
      </c>
      <c r="P291" s="6" t="s">
        <v>69</v>
      </c>
      <c r="Q291" s="6">
        <v>1730.9660238900001</v>
      </c>
      <c r="R291" s="6">
        <v>1482.2638165799999</v>
      </c>
      <c r="S291" s="6">
        <v>28222.964313519999</v>
      </c>
      <c r="T291" s="6">
        <v>9827.1757346399991</v>
      </c>
      <c r="U291" s="6">
        <v>3256.0468924500001</v>
      </c>
      <c r="V291" s="6">
        <v>6.232E-5</v>
      </c>
      <c r="W291" s="6">
        <v>1.9372481399999999</v>
      </c>
      <c r="X291" s="6">
        <v>2850.9922458500005</v>
      </c>
      <c r="Y291" s="6">
        <v>59.223854769999981</v>
      </c>
      <c r="Z291" s="6">
        <v>92286.5</v>
      </c>
      <c r="AA291" s="6">
        <v>18682.23005713</v>
      </c>
      <c r="AB291" s="6">
        <v>9280.3813140700004</v>
      </c>
      <c r="AC291" s="6">
        <v>2838.71958189</v>
      </c>
      <c r="AD291" s="6">
        <v>90.131502979999979</v>
      </c>
      <c r="AE291" s="6">
        <v>3073.9744729200174</v>
      </c>
    </row>
    <row r="292" spans="1:31" ht="15.75" x14ac:dyDescent="0.25">
      <c r="A292" s="28">
        <v>43647</v>
      </c>
      <c r="B292" s="6">
        <v>92808.76854409001</v>
      </c>
      <c r="C292" s="6">
        <v>6192.3868877599998</v>
      </c>
      <c r="D292" s="6">
        <v>91344.061413899995</v>
      </c>
      <c r="E292" s="6">
        <v>43820.237643400003</v>
      </c>
      <c r="F292" s="6">
        <v>151.02964331999999</v>
      </c>
      <c r="G292" s="6">
        <v>29232.014679899999</v>
      </c>
      <c r="H292" s="6">
        <v>5540.9614652300006</v>
      </c>
      <c r="I292" s="6">
        <v>1519.5160441999999</v>
      </c>
      <c r="J292" s="6">
        <v>703.37991793000003</v>
      </c>
      <c r="K292" s="6">
        <v>4150</v>
      </c>
      <c r="L292" s="6">
        <v>2350</v>
      </c>
      <c r="M292" s="6" t="s">
        <v>69</v>
      </c>
      <c r="N292" s="6">
        <v>18057.007579529996</v>
      </c>
      <c r="O292" s="6">
        <v>2107.8874185999998</v>
      </c>
      <c r="P292" s="6" t="s">
        <v>69</v>
      </c>
      <c r="Q292" s="6">
        <v>1841.2568201500003</v>
      </c>
      <c r="R292" s="6">
        <v>1617.9450122000001</v>
      </c>
      <c r="S292" s="6">
        <v>29325.749854099999</v>
      </c>
      <c r="T292" s="6">
        <v>11308.969307159998</v>
      </c>
      <c r="U292" s="6">
        <v>3626.0639036900006</v>
      </c>
      <c r="V292" s="6">
        <v>1.14262752</v>
      </c>
      <c r="W292" s="6">
        <v>3.04101329</v>
      </c>
      <c r="X292" s="6">
        <v>3069.2213453300001</v>
      </c>
      <c r="Y292" s="6">
        <v>136.54839795000001</v>
      </c>
      <c r="Z292" s="6">
        <v>124296.1</v>
      </c>
      <c r="AA292" s="6">
        <v>27643.997264399997</v>
      </c>
      <c r="AB292" s="6">
        <v>13266.020065030001</v>
      </c>
      <c r="AC292" s="6">
        <v>2995.3409799499996</v>
      </c>
      <c r="AD292" s="6">
        <v>93.60933467000001</v>
      </c>
      <c r="AE292" s="6">
        <v>-30.930513499997904</v>
      </c>
    </row>
    <row r="293" spans="1:31" ht="15.75" x14ac:dyDescent="0.25">
      <c r="A293" s="28">
        <v>43678</v>
      </c>
      <c r="B293" s="6">
        <v>95507.946972689999</v>
      </c>
      <c r="C293" s="6">
        <v>7169.0287984400002</v>
      </c>
      <c r="D293" s="6">
        <v>94224.112742369995</v>
      </c>
      <c r="E293" s="6">
        <v>52020.616522960001</v>
      </c>
      <c r="F293" s="6">
        <v>8.0146290099999984</v>
      </c>
      <c r="G293" s="6">
        <v>31907.45552811</v>
      </c>
      <c r="H293" s="6">
        <v>5579.3077553000003</v>
      </c>
      <c r="I293" s="6">
        <v>1583.05509424</v>
      </c>
      <c r="J293" s="6">
        <v>766.25824068999998</v>
      </c>
      <c r="K293" s="6">
        <v>4850</v>
      </c>
      <c r="L293" s="6">
        <v>2150</v>
      </c>
      <c r="M293" s="6" t="s">
        <v>69</v>
      </c>
      <c r="N293" s="6">
        <v>21141.49916748</v>
      </c>
      <c r="O293" s="6">
        <v>5588.9942955500001</v>
      </c>
      <c r="P293" s="6" t="s">
        <v>69</v>
      </c>
      <c r="Q293" s="6">
        <v>1946.1539693899997</v>
      </c>
      <c r="R293" s="6">
        <v>1680.8494383300003</v>
      </c>
      <c r="S293" s="6">
        <v>39383.966324720001</v>
      </c>
      <c r="T293" s="6">
        <v>12680.514202029997</v>
      </c>
      <c r="U293" s="6">
        <v>3986.9154644400001</v>
      </c>
      <c r="V293" s="6">
        <v>7.4099999999999999E-5</v>
      </c>
      <c r="W293" s="6">
        <v>6.0214965099999995</v>
      </c>
      <c r="X293" s="6">
        <v>3442.0022003200006</v>
      </c>
      <c r="Y293" s="6">
        <v>81.02624179</v>
      </c>
      <c r="Z293" s="6">
        <v>97564.800000000003</v>
      </c>
      <c r="AA293" s="6">
        <v>20642.673211869998</v>
      </c>
      <c r="AB293" s="6">
        <v>10181.454252509999</v>
      </c>
      <c r="AC293" s="6">
        <v>3240.5442895800002</v>
      </c>
      <c r="AD293" s="6">
        <v>92.860388740000005</v>
      </c>
      <c r="AE293" s="6">
        <v>-448.55927515000292</v>
      </c>
    </row>
    <row r="294" spans="1:31" ht="15.75" x14ac:dyDescent="0.25">
      <c r="A294" s="28">
        <v>43709</v>
      </c>
      <c r="B294" s="6">
        <v>76805.346957109999</v>
      </c>
      <c r="C294" s="6">
        <v>6893.8033093399999</v>
      </c>
      <c r="D294" s="6">
        <v>90670.933040830001</v>
      </c>
      <c r="E294" s="6">
        <v>51349.075537389996</v>
      </c>
      <c r="F294" s="6">
        <v>143.85122617000002</v>
      </c>
      <c r="G294" s="6">
        <v>31545.613276929998</v>
      </c>
      <c r="H294" s="6">
        <v>5793.6485603400015</v>
      </c>
      <c r="I294" s="6">
        <v>2102.1860144300003</v>
      </c>
      <c r="J294" s="6">
        <v>861.41023733999998</v>
      </c>
      <c r="K294" s="6">
        <v>2850</v>
      </c>
      <c r="L294" s="6">
        <v>1050</v>
      </c>
      <c r="M294" s="6" t="s">
        <v>69</v>
      </c>
      <c r="N294" s="6">
        <v>25260.054760049999</v>
      </c>
      <c r="O294" s="6">
        <v>1230.66813895</v>
      </c>
      <c r="P294" s="6" t="s">
        <v>69</v>
      </c>
      <c r="Q294" s="6">
        <v>1121.9610031000002</v>
      </c>
      <c r="R294" s="6">
        <v>1535.7119207999999</v>
      </c>
      <c r="S294" s="6">
        <v>32147.98779848</v>
      </c>
      <c r="T294" s="6">
        <v>13115.061377899998</v>
      </c>
      <c r="U294" s="6">
        <v>4154.8628998700005</v>
      </c>
      <c r="V294" s="6">
        <v>3.2602800000000004E-3</v>
      </c>
      <c r="W294" s="6">
        <v>1.4623211599999999</v>
      </c>
      <c r="X294" s="6">
        <v>3698.6364538199996</v>
      </c>
      <c r="Y294" s="6">
        <v>151.58276172999996</v>
      </c>
      <c r="Z294" s="6">
        <v>88359.2</v>
      </c>
      <c r="AA294" s="6">
        <v>20849.950819170004</v>
      </c>
      <c r="AB294" s="6">
        <v>10480.270275629999</v>
      </c>
      <c r="AC294" s="6">
        <v>2733.49469804</v>
      </c>
      <c r="AD294" s="6">
        <v>96.04264169999999</v>
      </c>
      <c r="AE294" s="6">
        <v>971.05539613999827</v>
      </c>
    </row>
    <row r="295" spans="1:31" ht="15.75" x14ac:dyDescent="0.25">
      <c r="A295" s="28">
        <v>43739</v>
      </c>
      <c r="B295" s="6">
        <v>72312.278049899993</v>
      </c>
      <c r="C295" s="6">
        <v>7628.3870999500004</v>
      </c>
      <c r="D295" s="6">
        <v>97491.057880630004</v>
      </c>
      <c r="E295" s="6">
        <v>53159.813117519996</v>
      </c>
      <c r="F295" s="6">
        <v>201.55823644000006</v>
      </c>
      <c r="G295" s="6">
        <v>33977.829937920003</v>
      </c>
      <c r="H295" s="6">
        <v>5702.6749023800003</v>
      </c>
      <c r="I295" s="6">
        <v>3962.0017708100004</v>
      </c>
      <c r="J295" s="6">
        <v>766.05190573999982</v>
      </c>
      <c r="K295" s="6">
        <v>4400</v>
      </c>
      <c r="L295" s="6">
        <v>600</v>
      </c>
      <c r="M295" s="6" t="s">
        <v>69</v>
      </c>
      <c r="N295" s="6">
        <v>20224.215930490001</v>
      </c>
      <c r="O295" s="6">
        <v>5616.5132426600003</v>
      </c>
      <c r="P295" s="6" t="s">
        <v>69</v>
      </c>
      <c r="Q295" s="6">
        <v>1779.8045821100002</v>
      </c>
      <c r="R295" s="6">
        <v>1674.8545393300003</v>
      </c>
      <c r="S295" s="6">
        <v>38791.459631340003</v>
      </c>
      <c r="T295" s="6">
        <v>14713.048861990002</v>
      </c>
      <c r="U295" s="6">
        <v>4532.8084502299998</v>
      </c>
      <c r="V295" s="6">
        <v>6.4900000000000005E-5</v>
      </c>
      <c r="W295" s="6">
        <v>7.6564968799999971</v>
      </c>
      <c r="X295" s="6">
        <v>3968.43124855</v>
      </c>
      <c r="Y295" s="6">
        <v>146.28210894999995</v>
      </c>
      <c r="Z295" s="6">
        <v>95448.5</v>
      </c>
      <c r="AA295" s="6">
        <v>21530.354357710003</v>
      </c>
      <c r="AB295" s="6">
        <v>10820.489857750001</v>
      </c>
      <c r="AC295" s="6">
        <v>3256.9487990700004</v>
      </c>
      <c r="AD295" s="6">
        <v>94.236876739999971</v>
      </c>
      <c r="AE295" s="6">
        <v>637.09134057999529</v>
      </c>
    </row>
    <row r="296" spans="1:31" ht="15.75" x14ac:dyDescent="0.25">
      <c r="A296" s="28">
        <v>43770</v>
      </c>
      <c r="B296" s="6">
        <v>82311.229125180005</v>
      </c>
      <c r="C296" s="6">
        <v>6309.3037153999994</v>
      </c>
      <c r="D296" s="6">
        <v>105044.31017158</v>
      </c>
      <c r="E296" s="6">
        <v>43697.56779957001</v>
      </c>
      <c r="F296" s="6">
        <v>735.54652216000022</v>
      </c>
      <c r="G296" s="6">
        <v>35769.298988900002</v>
      </c>
      <c r="H296" s="6">
        <v>7682.4158363500001</v>
      </c>
      <c r="I296" s="6">
        <v>3726.3449871499997</v>
      </c>
      <c r="J296" s="6">
        <v>1080.3199195</v>
      </c>
      <c r="K296" s="6">
        <v>6100</v>
      </c>
      <c r="L296" s="6">
        <v>1900</v>
      </c>
      <c r="M296" s="6" t="s">
        <v>69</v>
      </c>
      <c r="N296" s="6">
        <v>23243.191156569999</v>
      </c>
      <c r="O296" s="6">
        <v>1047.7777455400001</v>
      </c>
      <c r="P296" s="6" t="s">
        <v>69</v>
      </c>
      <c r="Q296" s="6">
        <v>1943.0462204199996</v>
      </c>
      <c r="R296" s="6">
        <v>1873.8885061999999</v>
      </c>
      <c r="S296" s="6">
        <v>53763.519903979999</v>
      </c>
      <c r="T296" s="6">
        <v>12630.168448020002</v>
      </c>
      <c r="U296" s="6">
        <v>3699.3959764600004</v>
      </c>
      <c r="V296" s="6">
        <v>6.232E-5</v>
      </c>
      <c r="W296" s="6">
        <v>1.6045746799999998</v>
      </c>
      <c r="X296" s="6">
        <v>3263.0399628300006</v>
      </c>
      <c r="Y296" s="6">
        <v>93.034082170000005</v>
      </c>
      <c r="Z296" s="6">
        <v>106023</v>
      </c>
      <c r="AA296" s="6">
        <v>21884.537716809999</v>
      </c>
      <c r="AB296" s="6">
        <v>11014.852009989998</v>
      </c>
      <c r="AC296" s="6">
        <v>3209.075407459999</v>
      </c>
      <c r="AD296" s="6">
        <v>90.319787339999976</v>
      </c>
      <c r="AE296" s="6">
        <v>23.607106700001751</v>
      </c>
    </row>
    <row r="297" spans="1:31" ht="15.75" x14ac:dyDescent="0.25">
      <c r="A297" s="28">
        <v>43800</v>
      </c>
      <c r="B297" s="6">
        <v>96316.2</v>
      </c>
      <c r="C297" s="6">
        <v>6142.5</v>
      </c>
      <c r="D297" s="6">
        <v>97983.4</v>
      </c>
      <c r="E297" s="6">
        <v>43638.5</v>
      </c>
      <c r="F297" s="6">
        <v>146.92484363</v>
      </c>
      <c r="G297" s="6">
        <v>35888</v>
      </c>
      <c r="H297" s="6">
        <v>6708.8713326900006</v>
      </c>
      <c r="I297" s="6">
        <v>4053.5067180799997</v>
      </c>
      <c r="J297" s="6">
        <v>1050.4853743199999</v>
      </c>
      <c r="K297" s="6">
        <v>7200</v>
      </c>
      <c r="L297" s="6">
        <v>5200</v>
      </c>
      <c r="M297" s="6" t="s">
        <v>69</v>
      </c>
      <c r="N297" s="6">
        <v>33397.280962200006</v>
      </c>
      <c r="O297" s="6">
        <v>5566.5</v>
      </c>
      <c r="P297" s="6" t="s">
        <v>69</v>
      </c>
      <c r="Q297" s="6">
        <v>2017.8124288299996</v>
      </c>
      <c r="R297" s="6">
        <v>1643.0086691899999</v>
      </c>
      <c r="S297" s="6">
        <v>63099.4</v>
      </c>
      <c r="T297" s="6">
        <v>12040.395812249999</v>
      </c>
      <c r="U297" s="6">
        <v>3648.2905923399994</v>
      </c>
      <c r="V297" s="6">
        <v>6.6549999999999991E-5</v>
      </c>
      <c r="W297" s="6">
        <v>2.9239162900000002</v>
      </c>
      <c r="X297" s="6">
        <v>3196.4338220600007</v>
      </c>
      <c r="Y297" s="6">
        <v>101.26054213</v>
      </c>
      <c r="Z297" s="6">
        <v>111352</v>
      </c>
      <c r="AA297" s="6">
        <v>22516.705629880002</v>
      </c>
      <c r="AB297" s="6">
        <v>10780.879856620002</v>
      </c>
      <c r="AC297" s="6">
        <v>2804.8609306100007</v>
      </c>
      <c r="AD297" s="6">
        <v>91.130551730000036</v>
      </c>
      <c r="AE297" s="6">
        <v>-6863.9305364399979</v>
      </c>
    </row>
    <row r="298" spans="1:31" ht="15.75" x14ac:dyDescent="0.25">
      <c r="A298" s="28">
        <v>43831</v>
      </c>
      <c r="B298" s="6">
        <v>88895.628504909997</v>
      </c>
      <c r="C298" s="6">
        <v>7246.6913851999998</v>
      </c>
      <c r="D298" s="6">
        <v>122375.98768980001</v>
      </c>
      <c r="E298" s="6">
        <v>50202.573421709996</v>
      </c>
      <c r="F298" s="6">
        <v>2096.7248503000001</v>
      </c>
      <c r="G298" s="6">
        <v>35776.151070109998</v>
      </c>
      <c r="H298" s="6">
        <v>4651.6864317</v>
      </c>
      <c r="I298" s="6">
        <v>4485.5111009699995</v>
      </c>
      <c r="J298" s="6">
        <v>923.91822936999995</v>
      </c>
      <c r="K298" s="6">
        <v>1883</v>
      </c>
      <c r="L298" s="6">
        <v>861</v>
      </c>
      <c r="M298" s="6" t="s">
        <v>69</v>
      </c>
      <c r="N298" s="6">
        <v>11733.825119420002</v>
      </c>
      <c r="O298" s="6">
        <v>869.24530095</v>
      </c>
      <c r="P298" s="6">
        <v>3181.05566834</v>
      </c>
      <c r="Q298" s="6">
        <v>27704.913588100007</v>
      </c>
      <c r="R298" s="6">
        <v>1784.1421822300001</v>
      </c>
      <c r="S298" s="6">
        <v>23979.278282259998</v>
      </c>
      <c r="T298" s="6">
        <v>13757.308127720002</v>
      </c>
      <c r="U298" s="6">
        <v>2657.7686970300006</v>
      </c>
      <c r="V298" s="6">
        <v>6.6549999999999991E-5</v>
      </c>
      <c r="W298" s="6">
        <v>1.6266137099999991</v>
      </c>
      <c r="X298" s="6">
        <v>3575.0445549999999</v>
      </c>
      <c r="Y298" s="6">
        <v>76.213964729999972</v>
      </c>
      <c r="Z298" s="6">
        <v>149853.12266563997</v>
      </c>
      <c r="AA298" s="6">
        <v>33640.253409910001</v>
      </c>
      <c r="AB298" s="6">
        <v>15904.265246440002</v>
      </c>
      <c r="AC298" s="6">
        <v>3820.9145732899997</v>
      </c>
      <c r="AD298" s="6">
        <v>92.064992029999956</v>
      </c>
      <c r="AE298" s="6">
        <v>3579.3110489800038</v>
      </c>
    </row>
    <row r="299" spans="1:31" ht="15.75" x14ac:dyDescent="0.25">
      <c r="A299" s="28">
        <v>43862</v>
      </c>
      <c r="B299" s="6">
        <v>87340.320368949993</v>
      </c>
      <c r="C299" s="6">
        <v>5776.0497887399997</v>
      </c>
      <c r="D299" s="6">
        <v>106414.08069562001</v>
      </c>
      <c r="E299" s="6">
        <v>39773.247942949994</v>
      </c>
      <c r="F299" s="6">
        <v>1589.2545702999998</v>
      </c>
      <c r="G299" s="6">
        <v>35248.77760134</v>
      </c>
      <c r="H299" s="6">
        <v>8399.4271735300008</v>
      </c>
      <c r="I299" s="6">
        <v>4049.2890360699998</v>
      </c>
      <c r="J299" s="6">
        <v>1156.6277860399996</v>
      </c>
      <c r="K299" s="6">
        <v>4190</v>
      </c>
      <c r="L299" s="6">
        <v>584</v>
      </c>
      <c r="M299" s="6" t="s">
        <v>69</v>
      </c>
      <c r="N299" s="6">
        <v>15713.121487860004</v>
      </c>
      <c r="O299" s="6">
        <v>5185.3098947500002</v>
      </c>
      <c r="P299" s="6">
        <v>7537.1677020899997</v>
      </c>
      <c r="Q299" s="6">
        <v>23507.613063699999</v>
      </c>
      <c r="R299" s="6">
        <v>1383.22865469</v>
      </c>
      <c r="S299" s="6">
        <v>21099.773868079999</v>
      </c>
      <c r="T299" s="6">
        <v>9983.9596682100018</v>
      </c>
      <c r="U299" s="6">
        <v>1951.91996509</v>
      </c>
      <c r="V299" s="6">
        <v>7.8650000000000014E-5</v>
      </c>
      <c r="W299" s="6">
        <v>3.3043762100000005</v>
      </c>
      <c r="X299" s="6">
        <v>2970.5449340600003</v>
      </c>
      <c r="Y299" s="6">
        <v>156.91477891999997</v>
      </c>
      <c r="Z299" s="6">
        <v>122615.45245402996</v>
      </c>
      <c r="AA299" s="6">
        <v>26102.147947789999</v>
      </c>
      <c r="AB299" s="6">
        <v>12327.184278939996</v>
      </c>
      <c r="AC299" s="6">
        <v>3966.5726062300005</v>
      </c>
      <c r="AD299" s="6">
        <v>90.012218279999999</v>
      </c>
      <c r="AE299" s="6">
        <v>476.01510494999684</v>
      </c>
    </row>
    <row r="300" spans="1:31" ht="15.75" x14ac:dyDescent="0.25">
      <c r="A300" s="28">
        <v>43891</v>
      </c>
      <c r="B300" s="6">
        <v>73430.900664040004</v>
      </c>
      <c r="C300" s="6">
        <v>6031.3651496700004</v>
      </c>
      <c r="D300" s="6">
        <v>99168.678083350009</v>
      </c>
      <c r="E300" s="6">
        <v>43992.09779634</v>
      </c>
      <c r="F300" s="6">
        <v>723.66124020000007</v>
      </c>
      <c r="G300" s="6">
        <v>32316.5160607</v>
      </c>
      <c r="H300" s="6">
        <v>5574.11623771</v>
      </c>
      <c r="I300" s="6">
        <v>3010.2528234200008</v>
      </c>
      <c r="J300" s="6">
        <v>1064.55106196</v>
      </c>
      <c r="K300" s="6">
        <v>6990.4</v>
      </c>
      <c r="L300" s="6">
        <v>600</v>
      </c>
      <c r="M300" s="6" t="s">
        <v>69</v>
      </c>
      <c r="N300" s="6">
        <v>11907.716373930001</v>
      </c>
      <c r="O300" s="6">
        <v>1613.8620855300001</v>
      </c>
      <c r="P300" s="6">
        <v>6399.9082203600001</v>
      </c>
      <c r="Q300" s="6">
        <v>21628.068499599998</v>
      </c>
      <c r="R300" s="6">
        <v>1321.0852484699999</v>
      </c>
      <c r="S300" s="6">
        <v>28999.137079399999</v>
      </c>
      <c r="T300" s="6">
        <v>11424.311705620003</v>
      </c>
      <c r="U300" s="6">
        <v>2198.9901941299995</v>
      </c>
      <c r="V300" s="6">
        <v>1.5930409999999999E-2</v>
      </c>
      <c r="W300" s="6">
        <v>0.41498975000000005</v>
      </c>
      <c r="X300" s="6">
        <v>3292.0889747300002</v>
      </c>
      <c r="Y300" s="6">
        <v>71.382081989999989</v>
      </c>
      <c r="Z300" s="6">
        <v>120631.34445401002</v>
      </c>
      <c r="AA300" s="6">
        <v>25977.977130489999</v>
      </c>
      <c r="AB300" s="6">
        <v>12130.629989360001</v>
      </c>
      <c r="AC300" s="6">
        <v>3771.5053219299998</v>
      </c>
      <c r="AD300" s="6">
        <v>88.911440459999994</v>
      </c>
      <c r="AE300" s="6">
        <v>706.1767904099944</v>
      </c>
    </row>
    <row r="301" spans="1:31" ht="15.75" x14ac:dyDescent="0.25">
      <c r="A301" s="28">
        <v>43922</v>
      </c>
      <c r="B301" s="6">
        <v>67130.424816409999</v>
      </c>
      <c r="C301" s="6">
        <v>6352.8997205200003</v>
      </c>
      <c r="D301" s="6">
        <v>87435.279553740023</v>
      </c>
      <c r="E301" s="6">
        <v>41091.944150859999</v>
      </c>
      <c r="F301" s="6">
        <v>1284.3264928999999</v>
      </c>
      <c r="G301" s="6">
        <v>29436.484164360001</v>
      </c>
      <c r="H301" s="6">
        <v>1537.12141438</v>
      </c>
      <c r="I301" s="6">
        <v>4441.4814057099993</v>
      </c>
      <c r="J301" s="6">
        <v>550.99549410999998</v>
      </c>
      <c r="K301" s="6">
        <v>1643</v>
      </c>
      <c r="L301" s="6">
        <v>5020</v>
      </c>
      <c r="M301" s="6" t="s">
        <v>69</v>
      </c>
      <c r="N301" s="6">
        <v>11843.62398774</v>
      </c>
      <c r="O301" s="6">
        <v>7108.6948085200002</v>
      </c>
      <c r="P301" s="6">
        <v>4564.0972862500003</v>
      </c>
      <c r="Q301" s="6">
        <v>18008.514339999994</v>
      </c>
      <c r="R301" s="6">
        <v>880.66599967000002</v>
      </c>
      <c r="S301" s="6">
        <v>28172.085395180002</v>
      </c>
      <c r="T301" s="6">
        <v>9815.6589517299999</v>
      </c>
      <c r="U301" s="6">
        <v>2233.70241652</v>
      </c>
      <c r="V301" s="6">
        <v>2.389879E-2</v>
      </c>
      <c r="W301" s="6">
        <v>2.2623634299999997</v>
      </c>
      <c r="X301" s="6">
        <v>3135.4479785799995</v>
      </c>
      <c r="Y301" s="6">
        <v>45.532453680000003</v>
      </c>
      <c r="Z301" s="6">
        <v>98982.348487939991</v>
      </c>
      <c r="AA301" s="6">
        <v>25026.140929360005</v>
      </c>
      <c r="AB301" s="6">
        <v>10970.92228726</v>
      </c>
      <c r="AC301" s="6">
        <v>4136.0814520000004</v>
      </c>
      <c r="AD301" s="6">
        <v>107.54261283999999</v>
      </c>
      <c r="AE301" s="6">
        <v>395.64279980999942</v>
      </c>
    </row>
    <row r="302" spans="1:31" ht="15.75" x14ac:dyDescent="0.25">
      <c r="A302" s="28">
        <v>43952</v>
      </c>
      <c r="B302" s="6">
        <v>134043.711993</v>
      </c>
      <c r="C302" s="6">
        <v>7276.3369936199997</v>
      </c>
      <c r="D302" s="6">
        <v>89254.284163979988</v>
      </c>
      <c r="E302" s="6">
        <v>44911.592867239997</v>
      </c>
      <c r="F302" s="6">
        <v>736.34917279999979</v>
      </c>
      <c r="G302" s="6">
        <v>35025.776623919999</v>
      </c>
      <c r="H302" s="6">
        <v>4754.4554307699991</v>
      </c>
      <c r="I302" s="6">
        <v>4594.6253646800005</v>
      </c>
      <c r="J302" s="6">
        <v>480.79398697000005</v>
      </c>
      <c r="K302" s="6">
        <v>3410</v>
      </c>
      <c r="L302" s="6">
        <v>4468</v>
      </c>
      <c r="M302" s="6" t="s">
        <v>69</v>
      </c>
      <c r="N302" s="6">
        <v>12286.73324121</v>
      </c>
      <c r="O302" s="6">
        <v>6791.0311191800001</v>
      </c>
      <c r="P302" s="6">
        <v>11906.568543019999</v>
      </c>
      <c r="Q302" s="6">
        <v>17922.285504200001</v>
      </c>
      <c r="R302" s="6">
        <v>1313.1194328500001</v>
      </c>
      <c r="S302" s="6">
        <v>24752.755525389999</v>
      </c>
      <c r="T302" s="6">
        <v>11252.411451260001</v>
      </c>
      <c r="U302" s="6">
        <v>2477.9653975399992</v>
      </c>
      <c r="V302" s="6">
        <v>1.931308E-2</v>
      </c>
      <c r="W302" s="6">
        <v>1.1179436599999999</v>
      </c>
      <c r="X302" s="6">
        <v>3337.7076328899998</v>
      </c>
      <c r="Y302" s="6">
        <v>104.65217455000003</v>
      </c>
      <c r="Z302" s="6">
        <v>101607.32258484999</v>
      </c>
      <c r="AA302" s="6">
        <v>24744.357594789999</v>
      </c>
      <c r="AB302" s="6">
        <v>11208.041395600001</v>
      </c>
      <c r="AC302" s="6">
        <v>4246.3803436500002</v>
      </c>
      <c r="AD302" s="6">
        <v>116.75379728999999</v>
      </c>
      <c r="AE302" s="6">
        <v>13217.327185980002</v>
      </c>
    </row>
    <row r="303" spans="1:31" ht="15.75" x14ac:dyDescent="0.25">
      <c r="A303" s="28">
        <v>43983</v>
      </c>
      <c r="B303" s="6">
        <v>142253.92025535999</v>
      </c>
      <c r="C303" s="6">
        <v>7986.7656318999998</v>
      </c>
      <c r="D303" s="6">
        <v>94522.834368450014</v>
      </c>
      <c r="E303" s="6">
        <v>49287.148881660003</v>
      </c>
      <c r="F303" s="6">
        <v>452.17513650000006</v>
      </c>
      <c r="G303" s="6">
        <v>33859.551777410001</v>
      </c>
      <c r="H303" s="6">
        <v>10358.09607532</v>
      </c>
      <c r="I303" s="6">
        <v>5131.4132036999999</v>
      </c>
      <c r="J303" s="6">
        <v>1662.7390497199999</v>
      </c>
      <c r="K303" s="6">
        <v>2328</v>
      </c>
      <c r="L303" s="6">
        <v>2207</v>
      </c>
      <c r="M303" s="6" t="s">
        <v>69</v>
      </c>
      <c r="N303" s="6">
        <v>12368.77951864</v>
      </c>
      <c r="O303" s="6">
        <v>25002.059543830001</v>
      </c>
      <c r="P303" s="6">
        <v>14115.870680440001</v>
      </c>
      <c r="Q303" s="6">
        <v>28592.789389199999</v>
      </c>
      <c r="R303" s="6">
        <v>983.01477866999994</v>
      </c>
      <c r="S303" s="6">
        <v>36153.842281689998</v>
      </c>
      <c r="T303" s="6">
        <v>12065.149954530003</v>
      </c>
      <c r="U303" s="6">
        <v>2811.8710808000005</v>
      </c>
      <c r="V303" s="6">
        <v>8.146000000000001E-5</v>
      </c>
      <c r="W303" s="6">
        <v>1.8643066799999997</v>
      </c>
      <c r="X303" s="6">
        <v>3692.3050060499995</v>
      </c>
      <c r="Y303" s="6">
        <v>72.345438060000021</v>
      </c>
      <c r="Z303" s="6">
        <v>111709.88069466999</v>
      </c>
      <c r="AA303" s="6">
        <v>25518.84861764</v>
      </c>
      <c r="AB303" s="6">
        <v>12101.500108539998</v>
      </c>
      <c r="AC303" s="6">
        <v>5183.19989463</v>
      </c>
      <c r="AD303" s="6">
        <v>124.25312690000003</v>
      </c>
      <c r="AE303" s="6">
        <v>-13656.681153379996</v>
      </c>
    </row>
    <row r="304" spans="1:31" ht="15.75" x14ac:dyDescent="0.25">
      <c r="A304" s="28">
        <v>44013</v>
      </c>
      <c r="B304" s="6">
        <v>99374.491975189987</v>
      </c>
      <c r="C304" s="6">
        <v>8244.3061495000002</v>
      </c>
      <c r="D304" s="6">
        <v>94276.303131669993</v>
      </c>
      <c r="E304" s="6">
        <v>52958.592640930001</v>
      </c>
      <c r="F304" s="6">
        <v>583.99803060000011</v>
      </c>
      <c r="G304" s="6">
        <v>37020.017692339999</v>
      </c>
      <c r="H304" s="6">
        <v>21280.262845760004</v>
      </c>
      <c r="I304" s="6">
        <v>5168.1211033499994</v>
      </c>
      <c r="J304" s="6">
        <v>1237.4174183799998</v>
      </c>
      <c r="K304" s="6">
        <v>3050</v>
      </c>
      <c r="L304" s="6">
        <v>3104</v>
      </c>
      <c r="M304" s="6" t="s">
        <v>69</v>
      </c>
      <c r="N304" s="6">
        <v>16467.212433000004</v>
      </c>
      <c r="O304" s="6">
        <v>9240.1901209999996</v>
      </c>
      <c r="P304" s="6">
        <v>20017.89405934</v>
      </c>
      <c r="Q304" s="6">
        <v>26483.907384699996</v>
      </c>
      <c r="R304" s="6">
        <v>1146.81413376</v>
      </c>
      <c r="S304" s="6">
        <v>33034.166956840003</v>
      </c>
      <c r="T304" s="6">
        <v>12702.591103430001</v>
      </c>
      <c r="U304" s="6">
        <v>2910.0776817800001</v>
      </c>
      <c r="V304" s="6">
        <v>9.2865999999999999E-4</v>
      </c>
      <c r="W304" s="6">
        <v>1.4905966299999995</v>
      </c>
      <c r="X304" s="6">
        <v>4668.1102919599998</v>
      </c>
      <c r="Y304" s="6">
        <v>83.651724160000015</v>
      </c>
      <c r="Z304" s="6">
        <v>147191.61255799999</v>
      </c>
      <c r="AA304" s="6">
        <v>36202.234478020007</v>
      </c>
      <c r="AB304" s="6">
        <v>15854.569063639996</v>
      </c>
      <c r="AC304" s="6">
        <v>4862.7534716600012</v>
      </c>
      <c r="AD304" s="6">
        <v>118.03741588999998</v>
      </c>
      <c r="AE304" s="6">
        <v>-48.754327459996233</v>
      </c>
    </row>
    <row r="305" spans="1:31" ht="15.75" x14ac:dyDescent="0.25">
      <c r="A305" s="28">
        <v>44044</v>
      </c>
      <c r="B305" s="6">
        <v>133109.70666448001</v>
      </c>
      <c r="C305" s="6">
        <v>8005.5390427900002</v>
      </c>
      <c r="D305" s="6">
        <v>107902.97734052999</v>
      </c>
      <c r="E305" s="6">
        <v>55373.731571539996</v>
      </c>
      <c r="F305" s="6">
        <v>94.75470900000002</v>
      </c>
      <c r="G305" s="6">
        <v>38506.078882039998</v>
      </c>
      <c r="H305" s="6">
        <v>7117.5592904100013</v>
      </c>
      <c r="I305" s="6">
        <v>6224.837105409998</v>
      </c>
      <c r="J305" s="6">
        <v>1143.22887158</v>
      </c>
      <c r="K305" s="6">
        <v>5300</v>
      </c>
      <c r="L305" s="6">
        <v>3000</v>
      </c>
      <c r="M305" s="6" t="s">
        <v>69</v>
      </c>
      <c r="N305" s="6">
        <v>18818.549407630006</v>
      </c>
      <c r="O305" s="6">
        <v>43879.384260339997</v>
      </c>
      <c r="P305" s="6">
        <v>21888.51761273</v>
      </c>
      <c r="Q305" s="6">
        <v>24737.931765400008</v>
      </c>
      <c r="R305" s="6">
        <v>1853.7008924999998</v>
      </c>
      <c r="S305" s="6">
        <v>37023.406808849999</v>
      </c>
      <c r="T305" s="6">
        <v>13524.281477289998</v>
      </c>
      <c r="U305" s="6">
        <v>3001.1808376899994</v>
      </c>
      <c r="V305" s="6">
        <v>7.8760000000000012E-5</v>
      </c>
      <c r="W305" s="6">
        <v>1.4285174599999992</v>
      </c>
      <c r="X305" s="6">
        <v>4780.0092973500005</v>
      </c>
      <c r="Y305" s="6">
        <v>74.395447039999993</v>
      </c>
      <c r="Z305" s="6">
        <v>119163.71402541001</v>
      </c>
      <c r="AA305" s="6">
        <v>27179.778976060006</v>
      </c>
      <c r="AB305" s="6">
        <v>12449.11134304</v>
      </c>
      <c r="AC305" s="6">
        <v>4307.3957691699998</v>
      </c>
      <c r="AD305" s="6">
        <v>125.50207965000001</v>
      </c>
      <c r="AE305" s="6">
        <v>2012.6334145800008</v>
      </c>
    </row>
    <row r="306" spans="1:31" ht="15.75" x14ac:dyDescent="0.25">
      <c r="A306" s="28">
        <v>44075</v>
      </c>
      <c r="B306" s="6">
        <v>111463.37020509002</v>
      </c>
      <c r="C306" s="6">
        <v>9181.2766932600007</v>
      </c>
      <c r="D306" s="6">
        <v>109002.83715059</v>
      </c>
      <c r="E306" s="6">
        <v>66806.331979900002</v>
      </c>
      <c r="F306" s="6">
        <v>578.51648020000005</v>
      </c>
      <c r="G306" s="6">
        <v>40405.768754320001</v>
      </c>
      <c r="H306" s="6">
        <v>10239.27817903</v>
      </c>
      <c r="I306" s="6">
        <v>6302.7936558799993</v>
      </c>
      <c r="J306" s="6">
        <v>1110.0920418399999</v>
      </c>
      <c r="K306" s="6">
        <v>4943.3</v>
      </c>
      <c r="L306" s="6">
        <v>3695.6</v>
      </c>
      <c r="M306" s="6" t="s">
        <v>69</v>
      </c>
      <c r="N306" s="6">
        <v>20198.701719140001</v>
      </c>
      <c r="O306" s="6">
        <v>23006.235724339997</v>
      </c>
      <c r="P306" s="6">
        <v>208579.777867</v>
      </c>
      <c r="Q306" s="6">
        <v>25437.183040600001</v>
      </c>
      <c r="R306" s="6">
        <v>1650.7822984299996</v>
      </c>
      <c r="S306" s="6">
        <v>46358.877659229991</v>
      </c>
      <c r="T306" s="6">
        <v>16222.46631817</v>
      </c>
      <c r="U306" s="6">
        <v>3563.1242861599994</v>
      </c>
      <c r="V306" s="6">
        <v>7.8650000000000014E-5</v>
      </c>
      <c r="W306" s="6">
        <v>1.0863359500000001</v>
      </c>
      <c r="X306" s="6">
        <v>5732.0087573800001</v>
      </c>
      <c r="Y306" s="6">
        <v>73.168001049999987</v>
      </c>
      <c r="Z306" s="6">
        <v>124436.94884504998</v>
      </c>
      <c r="AA306" s="6">
        <v>26915.441262869994</v>
      </c>
      <c r="AB306" s="6">
        <v>12584.253248189998</v>
      </c>
      <c r="AC306" s="6">
        <v>4412.1240580399999</v>
      </c>
      <c r="AD306" s="6">
        <v>114.96221253999998</v>
      </c>
      <c r="AE306" s="6">
        <v>2181.6026162799976</v>
      </c>
    </row>
    <row r="307" spans="1:31" ht="15.75" x14ac:dyDescent="0.25">
      <c r="A307" s="28">
        <v>44105</v>
      </c>
      <c r="B307" s="6">
        <v>131034.67466239999</v>
      </c>
      <c r="C307" s="6">
        <v>9635.6904640699995</v>
      </c>
      <c r="D307" s="6">
        <v>123231.56377632997</v>
      </c>
      <c r="E307" s="6">
        <v>68524.174681230012</v>
      </c>
      <c r="F307" s="6">
        <v>46.712997090000002</v>
      </c>
      <c r="G307" s="6">
        <v>42743.130980540001</v>
      </c>
      <c r="H307" s="6">
        <v>7585.5483022199996</v>
      </c>
      <c r="I307" s="6">
        <v>6560.3182023299996</v>
      </c>
      <c r="J307" s="6">
        <v>1241.5718001700002</v>
      </c>
      <c r="K307" s="6">
        <v>3738</v>
      </c>
      <c r="L307" s="6">
        <v>3032</v>
      </c>
      <c r="M307" s="6" t="s">
        <v>69</v>
      </c>
      <c r="N307" s="6">
        <v>17267.769211020001</v>
      </c>
      <c r="O307" s="6">
        <v>38883.879896419989</v>
      </c>
      <c r="P307" s="6">
        <v>8527.0818185599983</v>
      </c>
      <c r="Q307" s="6">
        <v>2533.8149177</v>
      </c>
      <c r="R307" s="6">
        <v>1718.8014056399995</v>
      </c>
      <c r="S307" s="6">
        <v>39471.775785669997</v>
      </c>
      <c r="T307" s="6">
        <v>17044.222118769998</v>
      </c>
      <c r="U307" s="6">
        <v>3668.6815908899998</v>
      </c>
      <c r="V307" s="6">
        <v>7.8650000000000014E-5</v>
      </c>
      <c r="W307" s="6">
        <v>1.2173470799999999</v>
      </c>
      <c r="X307" s="6">
        <v>5990.7622424700003</v>
      </c>
      <c r="Y307" s="6">
        <v>116.69931559</v>
      </c>
      <c r="Z307" s="6">
        <v>127169.98429855998</v>
      </c>
      <c r="AA307" s="6">
        <v>27416.733324409997</v>
      </c>
      <c r="AB307" s="6">
        <v>13199.964712639996</v>
      </c>
      <c r="AC307" s="6">
        <v>4374.3237329799986</v>
      </c>
      <c r="AD307" s="6">
        <v>121.98737159000001</v>
      </c>
      <c r="AE307" s="6">
        <v>3576.6382797999904</v>
      </c>
    </row>
    <row r="308" spans="1:31" ht="15.75" x14ac:dyDescent="0.25">
      <c r="A308" s="28">
        <v>44136</v>
      </c>
      <c r="B308" s="6">
        <v>146786.67196075001</v>
      </c>
      <c r="C308" s="6">
        <v>9815.1111176300037</v>
      </c>
      <c r="D308" s="6">
        <v>123604.38635915999</v>
      </c>
      <c r="E308" s="6">
        <v>71365.294361179986</v>
      </c>
      <c r="F308" s="6">
        <v>1.3850734599999985</v>
      </c>
      <c r="G308" s="6">
        <v>45499.905702139986</v>
      </c>
      <c r="H308" s="6">
        <v>10472.08110356</v>
      </c>
      <c r="I308" s="6">
        <v>7061.3074733699996</v>
      </c>
      <c r="J308" s="6">
        <v>1460.2007773799999</v>
      </c>
      <c r="K308" s="6">
        <v>2600</v>
      </c>
      <c r="L308" s="6">
        <v>2600</v>
      </c>
      <c r="M308" s="6" t="s">
        <v>69</v>
      </c>
      <c r="N308" s="6">
        <v>18835.628451190001</v>
      </c>
      <c r="O308" s="6">
        <v>19511.439884729996</v>
      </c>
      <c r="P308" s="6">
        <v>8480.1199793000014</v>
      </c>
      <c r="Q308" s="6">
        <v>2558.9069304300001</v>
      </c>
      <c r="R308" s="6">
        <v>1852.95133504</v>
      </c>
      <c r="S308" s="6">
        <v>40259.48146367001</v>
      </c>
      <c r="T308" s="6">
        <v>17230.879886850002</v>
      </c>
      <c r="U308" s="6">
        <v>3589.8779512799997</v>
      </c>
      <c r="V308" s="6">
        <v>7.8650000000000014E-5</v>
      </c>
      <c r="W308" s="6">
        <v>1.3989388399999998</v>
      </c>
      <c r="X308" s="6">
        <v>5953.2699998100006</v>
      </c>
      <c r="Y308" s="6">
        <v>138.45173993000003</v>
      </c>
      <c r="Z308" s="6">
        <v>128511.88102967004</v>
      </c>
      <c r="AA308" s="6">
        <v>28455.568285320001</v>
      </c>
      <c r="AB308" s="6">
        <v>13248.754303439999</v>
      </c>
      <c r="AC308" s="6">
        <v>4421.5021249599995</v>
      </c>
      <c r="AD308" s="6">
        <v>120.19467633000004</v>
      </c>
      <c r="AE308" s="6">
        <v>-1803.8386730700008</v>
      </c>
    </row>
    <row r="309" spans="1:31" ht="15.75" x14ac:dyDescent="0.25">
      <c r="A309" s="28">
        <v>44166</v>
      </c>
      <c r="B309" s="6">
        <v>156324.72549403997</v>
      </c>
      <c r="C309" s="6">
        <v>10562.769606839998</v>
      </c>
      <c r="D309" s="6">
        <v>132324.34826564</v>
      </c>
      <c r="E309" s="6">
        <v>77760.502544380011</v>
      </c>
      <c r="F309" s="6">
        <v>31.346418749999994</v>
      </c>
      <c r="G309" s="6">
        <v>46620.958325700005</v>
      </c>
      <c r="H309" s="6">
        <v>9974.5259021499987</v>
      </c>
      <c r="I309" s="6">
        <v>6654.1710509099994</v>
      </c>
      <c r="J309" s="6">
        <v>1352.42792102</v>
      </c>
      <c r="K309" s="6">
        <v>6100</v>
      </c>
      <c r="L309" s="6">
        <v>3010</v>
      </c>
      <c r="M309" s="6" t="s">
        <v>69</v>
      </c>
      <c r="N309" s="6">
        <v>28217.073753600002</v>
      </c>
      <c r="O309" s="6">
        <v>26290.272760890002</v>
      </c>
      <c r="P309" s="6">
        <v>7494.7613821399991</v>
      </c>
      <c r="Q309" s="6">
        <v>2673.9021353600001</v>
      </c>
      <c r="R309" s="6">
        <v>2213.0619339</v>
      </c>
      <c r="S309" s="6">
        <v>28338.165086839988</v>
      </c>
      <c r="T309" s="6">
        <v>19864.906204109997</v>
      </c>
      <c r="U309" s="6">
        <v>3783.3207375099996</v>
      </c>
      <c r="V309" s="6">
        <v>4.4972999999999996E-4</v>
      </c>
      <c r="W309" s="6">
        <v>2.7816860300000004</v>
      </c>
      <c r="X309" s="6">
        <v>6155.2085266599997</v>
      </c>
      <c r="Y309" s="6">
        <v>137.80869938000001</v>
      </c>
      <c r="Z309" s="6">
        <v>133715.49988666998</v>
      </c>
      <c r="AA309" s="6">
        <v>29386.114603350001</v>
      </c>
      <c r="AB309" s="6">
        <v>13711.758158660001</v>
      </c>
      <c r="AC309" s="6">
        <v>4515.1664454300007</v>
      </c>
      <c r="AD309" s="6">
        <v>122.88109649</v>
      </c>
      <c r="AE309" s="6">
        <v>-4419.5704633799942</v>
      </c>
    </row>
    <row r="310" spans="1:31" ht="15.75" x14ac:dyDescent="0.25">
      <c r="A310" s="28">
        <v>44197</v>
      </c>
      <c r="B310" s="34">
        <f>'20-24'!B22</f>
        <v>138275.728</v>
      </c>
      <c r="C310" s="34">
        <f>'20-24'!C22</f>
        <v>11309.181920000001</v>
      </c>
      <c r="D310" s="34">
        <f>'20-24'!D22</f>
        <v>157595.06635565002</v>
      </c>
      <c r="E310" s="34">
        <f>'20-24'!E22</f>
        <v>82736.538815619992</v>
      </c>
      <c r="F310" s="34">
        <f>'20-24'!F22</f>
        <v>47.825704730000012</v>
      </c>
      <c r="G310" s="34">
        <f>'20-24'!G22</f>
        <v>48171.015048909998</v>
      </c>
      <c r="H310" s="34">
        <f>'20-24'!H22</f>
        <v>10187.77412143</v>
      </c>
      <c r="I310" s="34">
        <f>'20-24'!I22</f>
        <v>7589.6503439999997</v>
      </c>
      <c r="J310" s="34">
        <f>'20-24'!J22</f>
        <v>1449.5916239000003</v>
      </c>
      <c r="K310" s="34">
        <f>'20-24'!K22</f>
        <v>7500</v>
      </c>
      <c r="L310" s="34">
        <f>'20-24'!L22</f>
        <v>5500</v>
      </c>
      <c r="M310" s="33" t="s">
        <v>69</v>
      </c>
      <c r="N310" s="34">
        <f>'20-24'!M22</f>
        <v>18992.34089924</v>
      </c>
      <c r="O310" s="34">
        <f>'20-24'!N22</f>
        <v>5652.2667371000007</v>
      </c>
      <c r="P310" s="34">
        <f>'20-24'!O22</f>
        <v>8347.366088859997</v>
      </c>
      <c r="Q310" s="34">
        <f>'20-24'!P22</f>
        <v>2127.6052116999999</v>
      </c>
      <c r="R310" s="34">
        <f>'20-24'!Q22</f>
        <v>2365.2076662900004</v>
      </c>
      <c r="S310" s="34">
        <f>'20-24'!R22</f>
        <v>79423.220347680006</v>
      </c>
      <c r="T310" s="34">
        <f>'20-24'!S22</f>
        <v>20249.20135716</v>
      </c>
      <c r="U310" s="34">
        <f>'20-24'!T22</f>
        <v>4193.0436447399998</v>
      </c>
      <c r="V310" s="34">
        <f>'20-24'!U22</f>
        <v>7.0706999999999996E-4</v>
      </c>
      <c r="W310" s="34">
        <f>'20-24'!V22</f>
        <v>1.1417261300000001</v>
      </c>
      <c r="X310" s="34">
        <f>'20-24'!W22</f>
        <v>6245.8526021999996</v>
      </c>
      <c r="Y310" s="34">
        <f>'20-24'!X22</f>
        <v>163.47136287000001</v>
      </c>
      <c r="Z310" s="34">
        <v>188750.4465974</v>
      </c>
      <c r="AA310" s="34">
        <f>'20-24'!AA22</f>
        <v>43602.736739849999</v>
      </c>
      <c r="AB310" s="34">
        <f>'20-24'!AB22</f>
        <v>19246.59763452</v>
      </c>
      <c r="AC310" s="34">
        <f>'20-24'!AC22</f>
        <v>4578.2178127400011</v>
      </c>
      <c r="AD310" s="34">
        <f>'20-24'!AD22</f>
        <v>120.85498691999999</v>
      </c>
      <c r="AE310" s="34">
        <f>'20-24'!AE22</f>
        <v>-1025.8632619199939</v>
      </c>
    </row>
  </sheetData>
  <mergeCells count="30">
    <mergeCell ref="N8:N9"/>
    <mergeCell ref="B7:R7"/>
    <mergeCell ref="H8:I8"/>
    <mergeCell ref="J8:J9"/>
    <mergeCell ref="K8:M8"/>
    <mergeCell ref="A6:A9"/>
    <mergeCell ref="B6:AC6"/>
    <mergeCell ref="S7:Y7"/>
    <mergeCell ref="Z7:AE7"/>
    <mergeCell ref="B8:C8"/>
    <mergeCell ref="D8:E8"/>
    <mergeCell ref="F8:F9"/>
    <mergeCell ref="G8:G9"/>
    <mergeCell ref="X8:X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AD8:AD9"/>
    <mergeCell ref="AE8:AE9"/>
    <mergeCell ref="Y8:Y9"/>
    <mergeCell ref="Z8:Z9"/>
    <mergeCell ref="AA8:AA9"/>
    <mergeCell ref="AB8:AB9"/>
    <mergeCell ref="AC8:AC9"/>
  </mergeCells>
  <hyperlinks>
    <hyperlink ref="B4" r:id="rId1" xr:uid="{96DF3CBC-0614-4987-BDAE-77EB1239E004}"/>
    <hyperlink ref="E4" location="INDICE!A1" display="Volver al indice" xr:uid="{FB7D4892-E20B-4D06-AEB2-4E4F9192E50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21E69-6609-4702-B499-D98299468428}">
  <dimension ref="A1:AE110"/>
  <sheetViews>
    <sheetView workbookViewId="0">
      <pane xSplit="1" ySplit="9" topLeftCell="B10" activePane="bottomRight" state="frozen"/>
      <selection pane="topRight" activeCell="B1" sqref="B1"/>
      <selection pane="bottomLeft" activeCell="A8" sqref="A8"/>
      <selection pane="bottomRight" activeCell="E4" sqref="E4"/>
    </sheetView>
  </sheetViews>
  <sheetFormatPr baseColWidth="10" defaultColWidth="11.42578125" defaultRowHeight="15" x14ac:dyDescent="0.25"/>
  <cols>
    <col min="2" max="2" width="13.5703125" bestFit="1" customWidth="1"/>
    <col min="3" max="3" width="12.5703125" bestFit="1" customWidth="1"/>
    <col min="4" max="4" width="13.5703125" bestFit="1" customWidth="1"/>
    <col min="5" max="5" width="12.5703125" bestFit="1" customWidth="1"/>
    <col min="6" max="6" width="11.7109375" bestFit="1" customWidth="1"/>
    <col min="7" max="8" width="12.5703125" bestFit="1" customWidth="1"/>
    <col min="9" max="12" width="11.7109375" bestFit="1" customWidth="1"/>
    <col min="14" max="14" width="12.5703125" bestFit="1" customWidth="1"/>
    <col min="15" max="18" width="11.7109375" bestFit="1" customWidth="1"/>
    <col min="19" max="20" width="12.5703125" bestFit="1" customWidth="1"/>
    <col min="21" max="25" width="11.7109375" bestFit="1" customWidth="1"/>
    <col min="26" max="26" width="13.5703125" bestFit="1" customWidth="1"/>
    <col min="27" max="27" width="11.7109375" bestFit="1" customWidth="1"/>
    <col min="28" max="28" width="12.5703125" bestFit="1" customWidth="1"/>
    <col min="29" max="30" width="11.7109375" bestFit="1" customWidth="1"/>
    <col min="31" max="31" width="12.28515625" bestFit="1" customWidth="1"/>
  </cols>
  <sheetData>
    <row r="1" spans="1:31" ht="23.25" x14ac:dyDescent="0.35">
      <c r="A1" s="17" t="s">
        <v>25</v>
      </c>
    </row>
    <row r="2" spans="1:31" ht="21" x14ac:dyDescent="0.35">
      <c r="A2" s="18" t="s">
        <v>70</v>
      </c>
    </row>
    <row r="3" spans="1:31" x14ac:dyDescent="0.25">
      <c r="A3" t="s">
        <v>27</v>
      </c>
      <c r="D3" s="20"/>
    </row>
    <row r="4" spans="1:31" x14ac:dyDescent="0.25">
      <c r="A4" t="s">
        <v>28</v>
      </c>
      <c r="B4" s="35" t="s">
        <v>29</v>
      </c>
      <c r="D4" s="20"/>
      <c r="E4" s="35" t="s">
        <v>30</v>
      </c>
    </row>
    <row r="5" spans="1:31" x14ac:dyDescent="0.25">
      <c r="D5" s="20"/>
    </row>
    <row r="6" spans="1:31" ht="15.75" x14ac:dyDescent="0.25">
      <c r="A6" s="52" t="s">
        <v>31</v>
      </c>
      <c r="B6" s="53" t="s">
        <v>32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4"/>
      <c r="AA6" s="54"/>
      <c r="AB6" s="54"/>
      <c r="AC6" s="54"/>
      <c r="AD6" s="29"/>
      <c r="AE6" s="29"/>
    </row>
    <row r="7" spans="1:31" ht="15.75" x14ac:dyDescent="0.25">
      <c r="A7" s="52"/>
      <c r="B7" s="31" t="s">
        <v>33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55" t="s">
        <v>34</v>
      </c>
      <c r="T7" s="56"/>
      <c r="U7" s="56"/>
      <c r="V7" s="56"/>
      <c r="W7" s="56"/>
      <c r="X7" s="56"/>
      <c r="Y7" s="57"/>
      <c r="Z7" s="58" t="s">
        <v>35</v>
      </c>
      <c r="AA7" s="59"/>
      <c r="AB7" s="59"/>
      <c r="AC7" s="59"/>
      <c r="AD7" s="59"/>
      <c r="AE7" s="59"/>
    </row>
    <row r="8" spans="1:31" ht="15.75" x14ac:dyDescent="0.25">
      <c r="A8" s="52"/>
      <c r="B8" s="56" t="s">
        <v>36</v>
      </c>
      <c r="C8" s="57"/>
      <c r="D8" s="56" t="s">
        <v>37</v>
      </c>
      <c r="E8" s="56"/>
      <c r="F8" s="47" t="s">
        <v>38</v>
      </c>
      <c r="G8" s="47" t="s">
        <v>39</v>
      </c>
      <c r="H8" s="60" t="s">
        <v>40</v>
      </c>
      <c r="I8" s="60"/>
      <c r="J8" s="46" t="s">
        <v>41</v>
      </c>
      <c r="K8" s="60" t="s">
        <v>42</v>
      </c>
      <c r="L8" s="60"/>
      <c r="M8" s="61"/>
      <c r="N8" s="50" t="s">
        <v>43</v>
      </c>
      <c r="O8" s="47" t="s">
        <v>44</v>
      </c>
      <c r="P8" s="47" t="s">
        <v>45</v>
      </c>
      <c r="Q8" s="46" t="s">
        <v>46</v>
      </c>
      <c r="R8" s="47" t="s">
        <v>47</v>
      </c>
      <c r="S8" s="50" t="s">
        <v>48</v>
      </c>
      <c r="T8" s="46" t="s">
        <v>49</v>
      </c>
      <c r="U8" s="46" t="s">
        <v>50</v>
      </c>
      <c r="V8" s="46" t="s">
        <v>51</v>
      </c>
      <c r="W8" s="46" t="s">
        <v>52</v>
      </c>
      <c r="X8" s="46" t="s">
        <v>53</v>
      </c>
      <c r="Y8" s="48" t="s">
        <v>54</v>
      </c>
      <c r="Z8" s="47" t="s">
        <v>55</v>
      </c>
      <c r="AA8" s="47" t="s">
        <v>56</v>
      </c>
      <c r="AB8" s="47" t="s">
        <v>57</v>
      </c>
      <c r="AC8" s="47" t="s">
        <v>58</v>
      </c>
      <c r="AD8" s="47" t="s">
        <v>59</v>
      </c>
      <c r="AE8" s="47" t="s">
        <v>60</v>
      </c>
    </row>
    <row r="9" spans="1:31" ht="78.75" x14ac:dyDescent="0.25">
      <c r="A9" s="52"/>
      <c r="B9" s="11" t="s">
        <v>61</v>
      </c>
      <c r="C9" s="12" t="s">
        <v>62</v>
      </c>
      <c r="D9" s="11" t="s">
        <v>63</v>
      </c>
      <c r="E9" s="11" t="s">
        <v>64</v>
      </c>
      <c r="F9" s="47"/>
      <c r="G9" s="47"/>
      <c r="H9" s="11" t="s">
        <v>65</v>
      </c>
      <c r="I9" s="11" t="s">
        <v>54</v>
      </c>
      <c r="J9" s="47"/>
      <c r="K9" s="11" t="s">
        <v>66</v>
      </c>
      <c r="L9" s="11" t="s">
        <v>67</v>
      </c>
      <c r="M9" s="12" t="s">
        <v>68</v>
      </c>
      <c r="N9" s="51"/>
      <c r="O9" s="47"/>
      <c r="P9" s="47"/>
      <c r="Q9" s="47"/>
      <c r="R9" s="47"/>
      <c r="S9" s="51"/>
      <c r="T9" s="47"/>
      <c r="U9" s="47"/>
      <c r="V9" s="47"/>
      <c r="W9" s="47"/>
      <c r="X9" s="47"/>
      <c r="Y9" s="49"/>
      <c r="Z9" s="47"/>
      <c r="AA9" s="47"/>
      <c r="AB9" s="47"/>
      <c r="AC9" s="47"/>
      <c r="AD9" s="47"/>
      <c r="AE9" s="47"/>
    </row>
    <row r="10" spans="1:31" ht="15.75" x14ac:dyDescent="0.25">
      <c r="A10" t="s">
        <v>71</v>
      </c>
      <c r="B10" s="10">
        <v>1510.1499999999999</v>
      </c>
      <c r="C10" s="10">
        <v>81.051999999999992</v>
      </c>
      <c r="D10" s="10">
        <v>3706.0720000000001</v>
      </c>
      <c r="E10" s="10">
        <v>1315.7939999999999</v>
      </c>
      <c r="F10" s="10">
        <v>0</v>
      </c>
      <c r="G10" s="10">
        <v>0</v>
      </c>
      <c r="H10" s="10">
        <v>346.94600000000003</v>
      </c>
      <c r="I10" s="10">
        <v>223.34000000000003</v>
      </c>
      <c r="J10" s="10">
        <v>20.378</v>
      </c>
      <c r="K10" s="10">
        <v>308.53700000000003</v>
      </c>
      <c r="L10" s="10">
        <v>175.12100000000001</v>
      </c>
      <c r="M10" s="10">
        <v>32.048000000000002</v>
      </c>
      <c r="N10" s="10">
        <v>433.32100000000003</v>
      </c>
      <c r="O10" s="10">
        <v>22.850999999999999</v>
      </c>
      <c r="P10" s="10" t="s">
        <v>69</v>
      </c>
      <c r="Q10" s="10" t="s">
        <v>69</v>
      </c>
      <c r="R10" s="10">
        <v>157.38899999999998</v>
      </c>
      <c r="S10" s="10">
        <v>4.7629999999999999</v>
      </c>
      <c r="T10" s="10">
        <v>399.26499999999999</v>
      </c>
      <c r="U10" s="10">
        <v>68.587000000000003</v>
      </c>
      <c r="V10" s="10" t="s">
        <v>69</v>
      </c>
      <c r="W10" s="10">
        <v>0.47499999999999998</v>
      </c>
      <c r="X10" s="10" t="s">
        <v>69</v>
      </c>
      <c r="Y10" s="10">
        <v>10.67</v>
      </c>
      <c r="Z10" s="10">
        <v>3205.6</v>
      </c>
      <c r="AA10" s="10">
        <v>651.68600000000004</v>
      </c>
      <c r="AB10" s="10" t="s">
        <v>69</v>
      </c>
      <c r="AC10" s="10" t="s">
        <v>69</v>
      </c>
      <c r="AD10" s="10" t="s">
        <v>69</v>
      </c>
      <c r="AE10" s="10">
        <v>217.70400000000001</v>
      </c>
    </row>
    <row r="11" spans="1:31" ht="15.75" x14ac:dyDescent="0.25">
      <c r="A11" t="s">
        <v>72</v>
      </c>
      <c r="B11" s="10">
        <v>1810.5309999999999</v>
      </c>
      <c r="C11" s="10">
        <v>92.265000000000015</v>
      </c>
      <c r="D11" s="10">
        <v>3406.027</v>
      </c>
      <c r="E11" s="10">
        <v>1455.3589999999999</v>
      </c>
      <c r="F11" s="10">
        <v>0</v>
      </c>
      <c r="G11" s="10">
        <v>0</v>
      </c>
      <c r="H11" s="10">
        <v>327.41300000000001</v>
      </c>
      <c r="I11" s="10">
        <v>175.46900000000002</v>
      </c>
      <c r="J11" s="10">
        <v>47.903999999999996</v>
      </c>
      <c r="K11" s="10">
        <v>280.41700000000003</v>
      </c>
      <c r="L11" s="10">
        <v>146.12099999999998</v>
      </c>
      <c r="M11" s="10">
        <v>29.500999999999998</v>
      </c>
      <c r="N11" s="10">
        <v>514.15</v>
      </c>
      <c r="O11" s="10">
        <v>184.102</v>
      </c>
      <c r="P11" s="10" t="s">
        <v>69</v>
      </c>
      <c r="Q11" s="10" t="s">
        <v>69</v>
      </c>
      <c r="R11" s="10">
        <v>177.077</v>
      </c>
      <c r="S11" s="10">
        <v>16.085000000000001</v>
      </c>
      <c r="T11" s="10">
        <v>437.21199999999999</v>
      </c>
      <c r="U11" s="10">
        <v>78.018000000000001</v>
      </c>
      <c r="V11" s="10" t="s">
        <v>69</v>
      </c>
      <c r="W11" s="10">
        <v>1.663</v>
      </c>
      <c r="X11" s="10" t="s">
        <v>69</v>
      </c>
      <c r="Y11" s="10">
        <v>12.544</v>
      </c>
      <c r="Z11" s="10">
        <v>2816.3</v>
      </c>
      <c r="AA11" s="10">
        <v>562.26400000000001</v>
      </c>
      <c r="AB11" s="10" t="s">
        <v>69</v>
      </c>
      <c r="AC11" s="10" t="s">
        <v>69</v>
      </c>
      <c r="AD11" s="10" t="s">
        <v>69</v>
      </c>
      <c r="AE11" s="10">
        <v>174.94899999999998</v>
      </c>
    </row>
    <row r="12" spans="1:31" ht="15.75" x14ac:dyDescent="0.25">
      <c r="A12" t="s">
        <v>73</v>
      </c>
      <c r="B12" s="10">
        <v>1443.6750000000002</v>
      </c>
      <c r="C12" s="10">
        <v>111.816</v>
      </c>
      <c r="D12" s="10">
        <v>3360.0149999999999</v>
      </c>
      <c r="E12" s="10">
        <v>1712.5160000000001</v>
      </c>
      <c r="F12" s="10">
        <v>0</v>
      </c>
      <c r="G12" s="10">
        <v>0</v>
      </c>
      <c r="H12" s="10">
        <v>323.3</v>
      </c>
      <c r="I12" s="10">
        <v>100.441</v>
      </c>
      <c r="J12" s="10">
        <v>45.41</v>
      </c>
      <c r="K12" s="10">
        <v>313.81099999999998</v>
      </c>
      <c r="L12" s="10">
        <v>151.38299999999998</v>
      </c>
      <c r="M12" s="10">
        <v>35.960999999999999</v>
      </c>
      <c r="N12" s="10">
        <v>501.97699999999998</v>
      </c>
      <c r="O12" s="10">
        <v>238.84800000000001</v>
      </c>
      <c r="P12" s="10" t="s">
        <v>69</v>
      </c>
      <c r="Q12" s="10" t="s">
        <v>69</v>
      </c>
      <c r="R12" s="10">
        <v>154.447</v>
      </c>
      <c r="S12" s="10">
        <v>6.5830000000000002</v>
      </c>
      <c r="T12" s="10">
        <v>503.20799999999997</v>
      </c>
      <c r="U12" s="10">
        <v>92.007000000000005</v>
      </c>
      <c r="V12" s="10" t="s">
        <v>69</v>
      </c>
      <c r="W12" s="10">
        <v>1.2969999999999999</v>
      </c>
      <c r="X12" s="10" t="s">
        <v>69</v>
      </c>
      <c r="Y12" s="10">
        <v>12.882999999999999</v>
      </c>
      <c r="Z12" s="10">
        <v>3435.7000000000003</v>
      </c>
      <c r="AA12" s="10">
        <v>658.71600000000001</v>
      </c>
      <c r="AB12" s="10">
        <v>116.241</v>
      </c>
      <c r="AC12" s="10" t="s">
        <v>69</v>
      </c>
      <c r="AD12" s="10" t="s">
        <v>69</v>
      </c>
      <c r="AE12" s="10">
        <v>145.434</v>
      </c>
    </row>
    <row r="13" spans="1:31" ht="15.75" x14ac:dyDescent="0.25">
      <c r="A13" t="s">
        <v>74</v>
      </c>
      <c r="B13" s="10">
        <v>1642.9179999999999</v>
      </c>
      <c r="C13" s="10">
        <v>108.58900000000001</v>
      </c>
      <c r="D13" s="10">
        <v>3418.4120000000003</v>
      </c>
      <c r="E13" s="10">
        <v>1777.2249999999999</v>
      </c>
      <c r="F13" s="10">
        <v>0</v>
      </c>
      <c r="G13" s="10">
        <v>0</v>
      </c>
      <c r="H13" s="10">
        <v>346.053</v>
      </c>
      <c r="I13" s="10">
        <v>97.583000000000013</v>
      </c>
      <c r="J13" s="10">
        <v>58.611999999999995</v>
      </c>
      <c r="K13" s="10">
        <v>423.58</v>
      </c>
      <c r="L13" s="10">
        <v>139.32400000000001</v>
      </c>
      <c r="M13" s="10">
        <v>23.251000000000001</v>
      </c>
      <c r="N13" s="10">
        <v>1027.3699999999999</v>
      </c>
      <c r="O13" s="10">
        <v>207.24200000000002</v>
      </c>
      <c r="P13" s="10" t="s">
        <v>69</v>
      </c>
      <c r="Q13" s="10" t="s">
        <v>69</v>
      </c>
      <c r="R13" s="10">
        <v>155.255</v>
      </c>
      <c r="S13" s="10">
        <v>0.88600000000000001</v>
      </c>
      <c r="T13" s="10">
        <v>557.95800000000008</v>
      </c>
      <c r="U13" s="10">
        <v>89.811999999999998</v>
      </c>
      <c r="V13" s="10" t="s">
        <v>69</v>
      </c>
      <c r="W13" s="10">
        <v>1.1920000000000002</v>
      </c>
      <c r="X13" s="10" t="s">
        <v>69</v>
      </c>
      <c r="Y13" s="10">
        <v>14.349</v>
      </c>
      <c r="Z13" s="10">
        <v>3104</v>
      </c>
      <c r="AA13" s="10">
        <v>582.08699999999999</v>
      </c>
      <c r="AB13" s="10">
        <v>113.119</v>
      </c>
      <c r="AC13" s="10" t="s">
        <v>69</v>
      </c>
      <c r="AD13" s="10" t="s">
        <v>69</v>
      </c>
      <c r="AE13" s="10">
        <v>139.185</v>
      </c>
    </row>
    <row r="14" spans="1:31" ht="15.75" x14ac:dyDescent="0.25">
      <c r="A14" t="s">
        <v>75</v>
      </c>
      <c r="B14" s="10">
        <v>1591.1219858499999</v>
      </c>
      <c r="C14" s="10">
        <v>101.15158597999999</v>
      </c>
      <c r="D14" s="10">
        <v>3708.9266764099998</v>
      </c>
      <c r="E14" s="10">
        <v>1627.4265588999999</v>
      </c>
      <c r="F14" s="10">
        <v>0</v>
      </c>
      <c r="G14" s="10">
        <v>0</v>
      </c>
      <c r="H14" s="10">
        <v>353.79599999999999</v>
      </c>
      <c r="I14" s="10">
        <v>123.265</v>
      </c>
      <c r="J14" s="10">
        <v>48.807000000000002</v>
      </c>
      <c r="K14" s="10">
        <v>356.72780967</v>
      </c>
      <c r="L14" s="10">
        <v>145.89400000000001</v>
      </c>
      <c r="M14" s="10">
        <v>25.262</v>
      </c>
      <c r="N14" s="10">
        <v>1323.0299686899998</v>
      </c>
      <c r="O14" s="10">
        <v>16.85893823</v>
      </c>
      <c r="P14" s="10" t="s">
        <v>69</v>
      </c>
      <c r="Q14" s="10" t="s">
        <v>69</v>
      </c>
      <c r="R14" s="10">
        <v>138.22300000000001</v>
      </c>
      <c r="S14" s="10">
        <v>0.54400000000000004</v>
      </c>
      <c r="T14" s="10">
        <v>526.60599999999999</v>
      </c>
      <c r="U14" s="10">
        <v>85.956999999999994</v>
      </c>
      <c r="V14" s="10" t="s">
        <v>69</v>
      </c>
      <c r="W14" s="10">
        <v>1.109</v>
      </c>
      <c r="X14" s="10" t="s">
        <v>69</v>
      </c>
      <c r="Y14" s="10">
        <v>5.0009999999999994</v>
      </c>
      <c r="Z14" s="10">
        <v>3576.2</v>
      </c>
      <c r="AA14" s="10">
        <v>675.08299999999997</v>
      </c>
      <c r="AB14" s="10">
        <v>128.822</v>
      </c>
      <c r="AC14" s="10" t="s">
        <v>69</v>
      </c>
      <c r="AD14" s="10" t="s">
        <v>69</v>
      </c>
      <c r="AE14" s="10">
        <v>121.82499999999999</v>
      </c>
    </row>
    <row r="15" spans="1:31" ht="15.75" x14ac:dyDescent="0.25">
      <c r="A15" t="s">
        <v>76</v>
      </c>
      <c r="B15" s="10">
        <v>2575.3889411499999</v>
      </c>
      <c r="C15" s="10">
        <v>123.75010022000001</v>
      </c>
      <c r="D15" s="10">
        <v>3561.5380108000004</v>
      </c>
      <c r="E15" s="10">
        <v>1906.7356458300001</v>
      </c>
      <c r="F15" s="10">
        <v>0</v>
      </c>
      <c r="G15" s="10">
        <v>0</v>
      </c>
      <c r="H15" s="10">
        <v>313.21600000000001</v>
      </c>
      <c r="I15" s="10">
        <v>131.14299999999997</v>
      </c>
      <c r="J15" s="10">
        <v>49.557000000000002</v>
      </c>
      <c r="K15" s="10">
        <v>429.61534814000004</v>
      </c>
      <c r="L15" s="10">
        <v>146.828</v>
      </c>
      <c r="M15" s="10">
        <v>6.947000000000001</v>
      </c>
      <c r="N15" s="10">
        <v>1105.2271969600001</v>
      </c>
      <c r="O15" s="10">
        <v>217.65677828999998</v>
      </c>
      <c r="P15" s="10" t="s">
        <v>69</v>
      </c>
      <c r="Q15" s="10" t="s">
        <v>69</v>
      </c>
      <c r="R15" s="10">
        <v>92.942999999999998</v>
      </c>
      <c r="S15" s="10">
        <v>3.657</v>
      </c>
      <c r="T15" s="10">
        <v>591.51199999999994</v>
      </c>
      <c r="U15" s="10">
        <v>98.962000000000003</v>
      </c>
      <c r="V15" s="10" t="s">
        <v>69</v>
      </c>
      <c r="W15" s="10">
        <v>1.0819999999999999</v>
      </c>
      <c r="X15" s="10" t="s">
        <v>69</v>
      </c>
      <c r="Y15" s="10">
        <v>6.18</v>
      </c>
      <c r="Z15" s="10">
        <v>3199.3999999999996</v>
      </c>
      <c r="AA15" s="10">
        <v>603.13499999999999</v>
      </c>
      <c r="AB15" s="10">
        <v>121.32300000000001</v>
      </c>
      <c r="AC15" s="10" t="s">
        <v>69</v>
      </c>
      <c r="AD15" s="10" t="s">
        <v>69</v>
      </c>
      <c r="AE15" s="10">
        <v>103.62</v>
      </c>
    </row>
    <row r="16" spans="1:31" ht="15.75" x14ac:dyDescent="0.25">
      <c r="A16" t="s">
        <v>77</v>
      </c>
      <c r="B16" s="10">
        <v>1699.2834554300002</v>
      </c>
      <c r="C16" s="10">
        <v>137.57472609999999</v>
      </c>
      <c r="D16" s="10">
        <v>3644.1901326199995</v>
      </c>
      <c r="E16" s="10">
        <v>2135.4445788499997</v>
      </c>
      <c r="F16" s="10">
        <v>0</v>
      </c>
      <c r="G16" s="10">
        <v>0</v>
      </c>
      <c r="H16" s="10">
        <v>316.85199999999998</v>
      </c>
      <c r="I16" s="10">
        <v>130.41199999999998</v>
      </c>
      <c r="J16" s="10">
        <v>46.963999999999999</v>
      </c>
      <c r="K16" s="10">
        <v>453.65242539999997</v>
      </c>
      <c r="L16" s="10">
        <v>137.00900000000001</v>
      </c>
      <c r="M16" s="10">
        <v>7.8100000000000005</v>
      </c>
      <c r="N16" s="10">
        <v>1303.1651045999999</v>
      </c>
      <c r="O16" s="10">
        <v>102.26980207999999</v>
      </c>
      <c r="P16" s="10" t="s">
        <v>69</v>
      </c>
      <c r="Q16" s="10" t="s">
        <v>69</v>
      </c>
      <c r="R16" s="10">
        <v>132.60300000000001</v>
      </c>
      <c r="S16" s="10">
        <v>1.923</v>
      </c>
      <c r="T16" s="10">
        <v>650.36699999999996</v>
      </c>
      <c r="U16" s="10">
        <v>104.64700000000001</v>
      </c>
      <c r="V16" s="10" t="s">
        <v>69</v>
      </c>
      <c r="W16" s="10">
        <v>0.71399999999999997</v>
      </c>
      <c r="X16" s="10" t="s">
        <v>69</v>
      </c>
      <c r="Y16" s="10">
        <v>5.0140000000000002</v>
      </c>
      <c r="Z16" s="10">
        <v>3703.7</v>
      </c>
      <c r="AA16" s="10">
        <v>695.36599999999999</v>
      </c>
      <c r="AB16" s="10">
        <v>135.63200000000001</v>
      </c>
      <c r="AC16" s="10" t="s">
        <v>69</v>
      </c>
      <c r="AD16" s="10" t="s">
        <v>69</v>
      </c>
      <c r="AE16" s="10">
        <v>94.125</v>
      </c>
    </row>
    <row r="17" spans="1:31" ht="15.75" x14ac:dyDescent="0.25">
      <c r="A17" t="s">
        <v>78</v>
      </c>
      <c r="B17" s="10">
        <v>1972.2367766999998</v>
      </c>
      <c r="C17" s="10">
        <v>133.27066529999999</v>
      </c>
      <c r="D17" s="10">
        <v>3724.3316996399999</v>
      </c>
      <c r="E17" s="10">
        <v>2028.52451129</v>
      </c>
      <c r="F17" s="10">
        <v>0</v>
      </c>
      <c r="G17" s="10">
        <v>0</v>
      </c>
      <c r="H17" s="10">
        <v>334.38200000000001</v>
      </c>
      <c r="I17" s="10">
        <v>198.03200000000001</v>
      </c>
      <c r="J17" s="10">
        <v>48.497</v>
      </c>
      <c r="K17" s="10">
        <v>623.24821823000002</v>
      </c>
      <c r="L17" s="10">
        <v>163.46199999999999</v>
      </c>
      <c r="M17" s="10">
        <v>20.298000000000002</v>
      </c>
      <c r="N17" s="10">
        <v>1678.92923483</v>
      </c>
      <c r="O17" s="10">
        <v>151.90827099000001</v>
      </c>
      <c r="P17" s="10" t="s">
        <v>69</v>
      </c>
      <c r="Q17" s="10" t="s">
        <v>69</v>
      </c>
      <c r="R17" s="10">
        <v>128.798</v>
      </c>
      <c r="S17" s="10">
        <v>0.36100000000000004</v>
      </c>
      <c r="T17" s="10">
        <v>660.68799999999999</v>
      </c>
      <c r="U17" s="10">
        <v>102.565</v>
      </c>
      <c r="V17" s="10" t="s">
        <v>69</v>
      </c>
      <c r="W17" s="10">
        <v>0.95899999999999996</v>
      </c>
      <c r="X17" s="10" t="s">
        <v>69</v>
      </c>
      <c r="Y17" s="10">
        <v>4.9770000000000003</v>
      </c>
      <c r="Z17" s="10">
        <v>3348.2</v>
      </c>
      <c r="AA17" s="10">
        <v>634.13</v>
      </c>
      <c r="AB17" s="10">
        <v>127.471</v>
      </c>
      <c r="AC17" s="10" t="s">
        <v>69</v>
      </c>
      <c r="AD17" s="10" t="s">
        <v>69</v>
      </c>
      <c r="AE17" s="10">
        <v>80.701999999999998</v>
      </c>
    </row>
    <row r="18" spans="1:31" ht="15.75" x14ac:dyDescent="0.25">
      <c r="A18" t="s">
        <v>79</v>
      </c>
      <c r="B18" s="10">
        <v>1818.6619334400002</v>
      </c>
      <c r="C18" s="10">
        <v>115.99498199000001</v>
      </c>
      <c r="D18" s="10">
        <v>3798.8333338900002</v>
      </c>
      <c r="E18" s="10">
        <v>1864.62148955</v>
      </c>
      <c r="F18" s="10">
        <v>0</v>
      </c>
      <c r="G18" s="10">
        <v>0</v>
      </c>
      <c r="H18" s="10">
        <v>343.57499999999999</v>
      </c>
      <c r="I18" s="10">
        <v>138.03499999999997</v>
      </c>
      <c r="J18" s="10">
        <v>50.597000000000008</v>
      </c>
      <c r="K18" s="10">
        <v>397.43965637000002</v>
      </c>
      <c r="L18" s="10">
        <v>115.40100000000001</v>
      </c>
      <c r="M18" s="10">
        <v>1.62</v>
      </c>
      <c r="N18" s="10">
        <v>955.10244349000004</v>
      </c>
      <c r="O18" s="10">
        <v>86.300388800000007</v>
      </c>
      <c r="P18" s="10" t="s">
        <v>69</v>
      </c>
      <c r="Q18" s="10" t="s">
        <v>69</v>
      </c>
      <c r="R18" s="10">
        <v>119.627</v>
      </c>
      <c r="S18" s="10">
        <v>1.34238039</v>
      </c>
      <c r="T18" s="10">
        <v>625.61400000000003</v>
      </c>
      <c r="U18" s="10">
        <v>29.582000000000001</v>
      </c>
      <c r="V18" s="10" t="s">
        <v>69</v>
      </c>
      <c r="W18" s="10">
        <v>1.43</v>
      </c>
      <c r="X18" s="10" t="s">
        <v>69</v>
      </c>
      <c r="Y18" s="10">
        <v>5.2910000000000004</v>
      </c>
      <c r="Z18" s="10">
        <v>3722.8999999999996</v>
      </c>
      <c r="AA18" s="10">
        <v>740.93900000000008</v>
      </c>
      <c r="AB18" s="10">
        <v>144.41500000000002</v>
      </c>
      <c r="AC18" s="10" t="s">
        <v>69</v>
      </c>
      <c r="AD18" s="10" t="s">
        <v>69</v>
      </c>
      <c r="AE18" s="10">
        <v>74.548000000000002</v>
      </c>
    </row>
    <row r="19" spans="1:31" ht="15.75" x14ac:dyDescent="0.25">
      <c r="A19" t="s">
        <v>80</v>
      </c>
      <c r="B19" s="10">
        <v>3027.6055819899998</v>
      </c>
      <c r="C19" s="10">
        <v>131.16273412999999</v>
      </c>
      <c r="D19" s="10">
        <v>3663.7810524999995</v>
      </c>
      <c r="E19" s="10">
        <v>1979.0087662400001</v>
      </c>
      <c r="F19" s="10">
        <v>0</v>
      </c>
      <c r="G19" s="10">
        <v>0</v>
      </c>
      <c r="H19" s="10">
        <v>321.76299999999998</v>
      </c>
      <c r="I19" s="10">
        <v>165.95600000000002</v>
      </c>
      <c r="J19" s="10">
        <v>48.743000000000002</v>
      </c>
      <c r="K19" s="10">
        <v>426.55522260999993</v>
      </c>
      <c r="L19" s="10">
        <v>137.99299999999999</v>
      </c>
      <c r="M19" s="10">
        <v>6.6669999999999998</v>
      </c>
      <c r="N19" s="10">
        <v>1258.8250590500002</v>
      </c>
      <c r="O19" s="10">
        <v>316.49308150000002</v>
      </c>
      <c r="P19" s="10" t="s">
        <v>69</v>
      </c>
      <c r="Q19" s="10" t="s">
        <v>69</v>
      </c>
      <c r="R19" s="10">
        <v>100.306</v>
      </c>
      <c r="S19" s="10">
        <v>16.943389759999999</v>
      </c>
      <c r="T19" s="10">
        <v>689.029</v>
      </c>
      <c r="U19" s="10">
        <v>17.513999999999999</v>
      </c>
      <c r="V19" s="10" t="s">
        <v>69</v>
      </c>
      <c r="W19" s="10">
        <v>1.47</v>
      </c>
      <c r="X19" s="10" t="s">
        <v>69</v>
      </c>
      <c r="Y19" s="10">
        <v>4.7</v>
      </c>
      <c r="Z19" s="10">
        <v>3314.3</v>
      </c>
      <c r="AA19" s="10">
        <v>634.41800000000001</v>
      </c>
      <c r="AB19" s="10">
        <v>132.25800000000001</v>
      </c>
      <c r="AC19" s="10" t="s">
        <v>69</v>
      </c>
      <c r="AD19" s="10" t="s">
        <v>69</v>
      </c>
      <c r="AE19" s="10">
        <v>47.467999999999996</v>
      </c>
    </row>
    <row r="20" spans="1:31" ht="15.75" x14ac:dyDescent="0.25">
      <c r="A20" t="s">
        <v>81</v>
      </c>
      <c r="B20" s="10">
        <v>1935.1966662099999</v>
      </c>
      <c r="C20" s="10">
        <v>134.15286386</v>
      </c>
      <c r="D20" s="10">
        <v>3793.9371329300002</v>
      </c>
      <c r="E20" s="10">
        <v>2041.73302401</v>
      </c>
      <c r="F20" s="10">
        <v>0</v>
      </c>
      <c r="G20" s="10">
        <v>0</v>
      </c>
      <c r="H20" s="10">
        <v>325.69299999999998</v>
      </c>
      <c r="I20" s="10">
        <v>167.57099999999997</v>
      </c>
      <c r="J20" s="10">
        <v>48.063000000000002</v>
      </c>
      <c r="K20" s="10">
        <v>434.31770523</v>
      </c>
      <c r="L20" s="10">
        <v>125.79599999999999</v>
      </c>
      <c r="M20" s="10">
        <v>4.8310000000000004</v>
      </c>
      <c r="N20" s="10">
        <v>1346.75778502</v>
      </c>
      <c r="O20" s="10">
        <v>130.95990098999999</v>
      </c>
      <c r="P20" s="10" t="s">
        <v>69</v>
      </c>
      <c r="Q20" s="10" t="s">
        <v>69</v>
      </c>
      <c r="R20" s="10">
        <v>118.452</v>
      </c>
      <c r="S20" s="10">
        <v>8.8226835599999998</v>
      </c>
      <c r="T20" s="10">
        <v>721.61500000000001</v>
      </c>
      <c r="U20" s="10">
        <v>18.625</v>
      </c>
      <c r="V20" s="10" t="s">
        <v>69</v>
      </c>
      <c r="W20" s="10">
        <v>1.377</v>
      </c>
      <c r="X20" s="10" t="s">
        <v>69</v>
      </c>
      <c r="Y20" s="10">
        <v>11.401</v>
      </c>
      <c r="Z20" s="10">
        <v>3815.6</v>
      </c>
      <c r="AA20" s="10">
        <v>743.78099999999995</v>
      </c>
      <c r="AB20" s="10">
        <v>153.07599999999999</v>
      </c>
      <c r="AC20" s="10" t="s">
        <v>69</v>
      </c>
      <c r="AD20" s="10" t="s">
        <v>69</v>
      </c>
      <c r="AE20" s="10">
        <v>26.632999999999999</v>
      </c>
    </row>
    <row r="21" spans="1:31" ht="15.75" x14ac:dyDescent="0.25">
      <c r="A21" t="s">
        <v>82</v>
      </c>
      <c r="B21" s="10">
        <v>2207.0758226799999</v>
      </c>
      <c r="C21" s="10">
        <v>118.70535194999999</v>
      </c>
      <c r="D21" s="10">
        <v>3637.7599595800002</v>
      </c>
      <c r="E21" s="10">
        <v>1810.27273429</v>
      </c>
      <c r="F21" s="10">
        <v>0</v>
      </c>
      <c r="G21" s="10">
        <v>0</v>
      </c>
      <c r="H21" s="10">
        <v>340.06600000000003</v>
      </c>
      <c r="I21" s="10">
        <v>139.06799999999998</v>
      </c>
      <c r="J21" s="10">
        <v>50.412999999999997</v>
      </c>
      <c r="K21" s="10">
        <v>474.27700819999995</v>
      </c>
      <c r="L21" s="10">
        <v>127.74299999999999</v>
      </c>
      <c r="M21" s="10">
        <v>0.23200000000000001</v>
      </c>
      <c r="N21" s="10">
        <v>1498.8549850999998</v>
      </c>
      <c r="O21" s="10">
        <v>238.45185134000002</v>
      </c>
      <c r="P21" s="10" t="s">
        <v>69</v>
      </c>
      <c r="Q21" s="10">
        <v>99.63</v>
      </c>
      <c r="R21" s="10">
        <v>175.96242768500002</v>
      </c>
      <c r="S21" s="10">
        <v>0.75799691000000002</v>
      </c>
      <c r="T21" s="10">
        <v>657.74599999999998</v>
      </c>
      <c r="U21" s="10">
        <v>16.201000000000001</v>
      </c>
      <c r="V21" s="10" t="s">
        <v>69</v>
      </c>
      <c r="W21" s="10">
        <v>1.2349999999999999</v>
      </c>
      <c r="X21" s="10" t="s">
        <v>69</v>
      </c>
      <c r="Y21" s="10">
        <v>11.084000000000001</v>
      </c>
      <c r="Z21" s="10">
        <v>3319</v>
      </c>
      <c r="AA21" s="10">
        <v>630.37099999999998</v>
      </c>
      <c r="AB21" s="10">
        <v>140.95500000000001</v>
      </c>
      <c r="AC21" s="10">
        <v>62.157000000000004</v>
      </c>
      <c r="AD21" s="10" t="s">
        <v>69</v>
      </c>
      <c r="AE21" s="10">
        <v>23.361000000000001</v>
      </c>
    </row>
    <row r="22" spans="1:31" ht="15.75" x14ac:dyDescent="0.25">
      <c r="A22" t="s">
        <v>83</v>
      </c>
      <c r="B22" s="10">
        <v>1924.5280732199999</v>
      </c>
      <c r="C22" s="10">
        <v>97.76793649999999</v>
      </c>
      <c r="D22" s="10">
        <v>3803.9095685000002</v>
      </c>
      <c r="E22" s="10">
        <v>1472.4290041300001</v>
      </c>
      <c r="F22" s="10">
        <v>196.46479046000002</v>
      </c>
      <c r="G22" s="10">
        <v>0</v>
      </c>
      <c r="H22" s="10">
        <v>351.15999999999997</v>
      </c>
      <c r="I22" s="10">
        <v>131.79399999999998</v>
      </c>
      <c r="J22" s="10">
        <v>49.710999999999999</v>
      </c>
      <c r="K22" s="10">
        <v>443.38878769000002</v>
      </c>
      <c r="L22" s="10">
        <v>105.62899999999999</v>
      </c>
      <c r="M22" s="10">
        <v>0.16499999999999998</v>
      </c>
      <c r="N22" s="10">
        <v>1040.7083721399999</v>
      </c>
      <c r="O22" s="10">
        <v>17.96521791</v>
      </c>
      <c r="P22" s="10" t="s">
        <v>69</v>
      </c>
      <c r="Q22" s="10">
        <v>101.337</v>
      </c>
      <c r="R22" s="10">
        <v>225.773</v>
      </c>
      <c r="S22" s="10">
        <v>2.9188735399999999</v>
      </c>
      <c r="T22" s="10">
        <v>543.10500000000002</v>
      </c>
      <c r="U22" s="10">
        <v>15.145999999999999</v>
      </c>
      <c r="V22" s="10" t="s">
        <v>69</v>
      </c>
      <c r="W22" s="10">
        <v>0.91400000000000003</v>
      </c>
      <c r="X22" s="10" t="s">
        <v>69</v>
      </c>
      <c r="Y22" s="10">
        <v>8.8780000000000001</v>
      </c>
      <c r="Z22" s="10">
        <v>3784.7</v>
      </c>
      <c r="AA22" s="10">
        <v>753.97900000000004</v>
      </c>
      <c r="AB22" s="10">
        <v>158.12700000000001</v>
      </c>
      <c r="AC22" s="10">
        <v>72.760999999999996</v>
      </c>
      <c r="AD22" s="10" t="s">
        <v>69</v>
      </c>
      <c r="AE22" s="10">
        <v>20.473999999999997</v>
      </c>
    </row>
    <row r="23" spans="1:31" ht="15.75" x14ac:dyDescent="0.25">
      <c r="A23" t="s">
        <v>84</v>
      </c>
      <c r="B23" s="10">
        <v>2523.93268481</v>
      </c>
      <c r="C23" s="10">
        <v>97.762941359999999</v>
      </c>
      <c r="D23" s="10">
        <v>3579.7037755400002</v>
      </c>
      <c r="E23" s="10">
        <v>1499.2114399100001</v>
      </c>
      <c r="F23" s="10">
        <v>237.84624884000002</v>
      </c>
      <c r="G23" s="10">
        <v>0</v>
      </c>
      <c r="H23" s="10">
        <v>315.63200000000001</v>
      </c>
      <c r="I23" s="10">
        <v>133.452</v>
      </c>
      <c r="J23" s="10">
        <v>47.668999999999997</v>
      </c>
      <c r="K23" s="10">
        <v>516.75288722000005</v>
      </c>
      <c r="L23" s="10">
        <v>151.161</v>
      </c>
      <c r="M23" s="10">
        <v>0.32300000000000001</v>
      </c>
      <c r="N23" s="10">
        <v>1288.6474271699999</v>
      </c>
      <c r="O23" s="10">
        <v>205.65542796</v>
      </c>
      <c r="P23" s="10" t="s">
        <v>69</v>
      </c>
      <c r="Q23" s="10">
        <v>94.058999999999997</v>
      </c>
      <c r="R23" s="10">
        <v>568.07400000000007</v>
      </c>
      <c r="S23" s="10">
        <v>13.729826689999999</v>
      </c>
      <c r="T23" s="10">
        <v>517.1</v>
      </c>
      <c r="U23" s="10">
        <v>11.718999999999999</v>
      </c>
      <c r="V23" s="10" t="s">
        <v>69</v>
      </c>
      <c r="W23" s="10">
        <v>0.90500000000000003</v>
      </c>
      <c r="X23" s="10" t="s">
        <v>69</v>
      </c>
      <c r="Y23" s="10">
        <v>9.2769999999999992</v>
      </c>
      <c r="Z23" s="10">
        <v>3016.6</v>
      </c>
      <c r="AA23" s="10">
        <v>627.34400000000005</v>
      </c>
      <c r="AB23" s="10">
        <v>142.33500000000001</v>
      </c>
      <c r="AC23" s="10">
        <v>66.454999999999998</v>
      </c>
      <c r="AD23" s="10" t="s">
        <v>69</v>
      </c>
      <c r="AE23" s="10">
        <v>13.808999999999999</v>
      </c>
    </row>
    <row r="24" spans="1:31" ht="15.75" x14ac:dyDescent="0.25">
      <c r="A24" t="s">
        <v>85</v>
      </c>
      <c r="B24" s="10">
        <v>2143.6501001699999</v>
      </c>
      <c r="C24" s="10">
        <v>106.52494084</v>
      </c>
      <c r="D24" s="10">
        <v>3505.3157180899998</v>
      </c>
      <c r="E24" s="10">
        <v>1677.0245387800001</v>
      </c>
      <c r="F24" s="10">
        <v>153.44500595</v>
      </c>
      <c r="G24" s="10">
        <v>0</v>
      </c>
      <c r="H24" s="10">
        <v>324.51499999999999</v>
      </c>
      <c r="I24" s="10">
        <v>125.77999999999999</v>
      </c>
      <c r="J24" s="10">
        <v>45.561</v>
      </c>
      <c r="K24" s="10">
        <v>475.70530823000001</v>
      </c>
      <c r="L24" s="10">
        <v>140.12700000000001</v>
      </c>
      <c r="M24" s="10">
        <v>1.0780000000000001</v>
      </c>
      <c r="N24" s="10">
        <v>1239.3601606899999</v>
      </c>
      <c r="O24" s="10">
        <v>120.67179478999999</v>
      </c>
      <c r="P24" s="10" t="s">
        <v>69</v>
      </c>
      <c r="Q24" s="10">
        <v>96.77</v>
      </c>
      <c r="R24" s="10">
        <v>361.68499999999995</v>
      </c>
      <c r="S24" s="10">
        <v>7.8975844100000003</v>
      </c>
      <c r="T24" s="10">
        <v>573.79100000000005</v>
      </c>
      <c r="U24" s="10">
        <v>11.225000000000001</v>
      </c>
      <c r="V24" s="10" t="s">
        <v>69</v>
      </c>
      <c r="W24" s="10">
        <v>1.18</v>
      </c>
      <c r="X24" s="10" t="s">
        <v>69</v>
      </c>
      <c r="Y24" s="10">
        <v>12.727</v>
      </c>
      <c r="Z24" s="10">
        <v>3444.7999999999997</v>
      </c>
      <c r="AA24" s="10">
        <v>713.43299999999999</v>
      </c>
      <c r="AB24" s="10">
        <v>157.37899999999999</v>
      </c>
      <c r="AC24" s="10">
        <v>69.396999999999991</v>
      </c>
      <c r="AD24" s="10" t="s">
        <v>69</v>
      </c>
      <c r="AE24" s="10">
        <v>6.8360000000000003</v>
      </c>
    </row>
    <row r="25" spans="1:31" ht="15.75" x14ac:dyDescent="0.25">
      <c r="A25" t="s">
        <v>86</v>
      </c>
      <c r="B25" s="10">
        <v>2231.7790098099999</v>
      </c>
      <c r="C25" s="10">
        <v>114.02197336</v>
      </c>
      <c r="D25" s="10">
        <v>3484.8492420299999</v>
      </c>
      <c r="E25" s="10">
        <v>1716.4392205200002</v>
      </c>
      <c r="F25" s="10">
        <v>151.96165034999999</v>
      </c>
      <c r="G25" s="10">
        <v>0</v>
      </c>
      <c r="H25" s="10">
        <v>336.71199999999999</v>
      </c>
      <c r="I25" s="10">
        <v>109.13200000000001</v>
      </c>
      <c r="J25" s="10">
        <v>55.797834035000108</v>
      </c>
      <c r="K25" s="10">
        <v>531.99934217999999</v>
      </c>
      <c r="L25" s="10">
        <v>175.57400000000001</v>
      </c>
      <c r="M25" s="10">
        <v>5.0999999999999997E-2</v>
      </c>
      <c r="N25" s="10">
        <v>1430.5236182499998</v>
      </c>
      <c r="O25" s="10">
        <v>201.24005460999999</v>
      </c>
      <c r="P25" s="10" t="s">
        <v>69</v>
      </c>
      <c r="Q25" s="10">
        <v>93.242999999999995</v>
      </c>
      <c r="R25" s="10">
        <v>331.86099999999999</v>
      </c>
      <c r="S25" s="10">
        <v>0.53268150000000003</v>
      </c>
      <c r="T25" s="10">
        <v>593.16100000000006</v>
      </c>
      <c r="U25" s="10">
        <v>12.498000000000001</v>
      </c>
      <c r="V25" s="10" t="s">
        <v>69</v>
      </c>
      <c r="W25" s="10">
        <v>0.91799999999999993</v>
      </c>
      <c r="X25" s="10" t="s">
        <v>69</v>
      </c>
      <c r="Y25" s="10">
        <v>8.2210000000000001</v>
      </c>
      <c r="Z25" s="10">
        <v>2888.3999999999996</v>
      </c>
      <c r="AA25" s="10">
        <v>628.26499999999999</v>
      </c>
      <c r="AB25" s="10">
        <v>149.00299999999999</v>
      </c>
      <c r="AC25" s="10">
        <v>67.646000000000001</v>
      </c>
      <c r="AD25" s="10" t="s">
        <v>69</v>
      </c>
      <c r="AE25" s="10">
        <v>5.3070000000000004</v>
      </c>
    </row>
    <row r="26" spans="1:31" ht="15.75" x14ac:dyDescent="0.25">
      <c r="A26" t="s">
        <v>87</v>
      </c>
      <c r="B26" s="10">
        <v>2043.1381609600001</v>
      </c>
      <c r="C26" s="10">
        <v>98.763228519999998</v>
      </c>
      <c r="D26" s="10">
        <v>3606.08040003</v>
      </c>
      <c r="E26" s="10">
        <v>1413.6772412800001</v>
      </c>
      <c r="F26" s="10">
        <v>145.71388630999999</v>
      </c>
      <c r="G26" s="10">
        <v>0</v>
      </c>
      <c r="H26" s="10">
        <v>312.97299999999996</v>
      </c>
      <c r="I26" s="10">
        <v>134.75799999999998</v>
      </c>
      <c r="J26" s="10">
        <v>120.51500000000001</v>
      </c>
      <c r="K26" s="10">
        <v>374.88256440000004</v>
      </c>
      <c r="L26" s="10">
        <v>141.934</v>
      </c>
      <c r="M26" s="10">
        <v>95.3</v>
      </c>
      <c r="N26" s="10">
        <v>1030.3714888</v>
      </c>
      <c r="O26" s="10">
        <v>109.09886086</v>
      </c>
      <c r="P26" s="10" t="s">
        <v>69</v>
      </c>
      <c r="Q26" s="10">
        <v>95.248999999999995</v>
      </c>
      <c r="R26" s="10">
        <v>389.05899999999997</v>
      </c>
      <c r="S26" s="10">
        <v>2.0698873199999999</v>
      </c>
      <c r="T26" s="10">
        <v>491.649</v>
      </c>
      <c r="U26" s="10">
        <v>9.7720000000000002</v>
      </c>
      <c r="V26" s="10" t="s">
        <v>69</v>
      </c>
      <c r="W26" s="10">
        <v>0.77400000000000002</v>
      </c>
      <c r="X26" s="10" t="s">
        <v>69</v>
      </c>
      <c r="Y26" s="10">
        <v>10.228</v>
      </c>
      <c r="Z26" s="10">
        <v>3437.8</v>
      </c>
      <c r="AA26" s="10">
        <v>773.35599999999999</v>
      </c>
      <c r="AB26" s="10">
        <v>164.01900000000001</v>
      </c>
      <c r="AC26" s="10">
        <v>73.37700000000001</v>
      </c>
      <c r="AD26" s="10" t="s">
        <v>69</v>
      </c>
      <c r="AE26" s="10">
        <v>0</v>
      </c>
    </row>
    <row r="27" spans="1:31" ht="15.75" x14ac:dyDescent="0.25">
      <c r="A27" t="s">
        <v>88</v>
      </c>
      <c r="B27" s="10">
        <v>3223.2389318199994</v>
      </c>
      <c r="C27" s="10">
        <v>101.53831595</v>
      </c>
      <c r="D27" s="10">
        <v>3631.8804723599997</v>
      </c>
      <c r="E27" s="10">
        <v>1485.1573856099999</v>
      </c>
      <c r="F27" s="10">
        <v>151.87705184999999</v>
      </c>
      <c r="G27" s="10">
        <v>0</v>
      </c>
      <c r="H27" s="10">
        <v>280.36599999999999</v>
      </c>
      <c r="I27" s="10">
        <v>137.28300000000002</v>
      </c>
      <c r="J27" s="10">
        <v>155.58100000000002</v>
      </c>
      <c r="K27" s="10">
        <v>299.66500565000001</v>
      </c>
      <c r="L27" s="10">
        <v>145.863</v>
      </c>
      <c r="M27" s="10">
        <v>182.2</v>
      </c>
      <c r="N27" s="10">
        <v>1217.4267967599999</v>
      </c>
      <c r="O27" s="10">
        <v>350.03305361999998</v>
      </c>
      <c r="P27" s="10" t="s">
        <v>69</v>
      </c>
      <c r="Q27" s="10">
        <v>87.626999999999995</v>
      </c>
      <c r="R27" s="10">
        <v>419.57799999999997</v>
      </c>
      <c r="S27" s="10">
        <v>21.928423900000002</v>
      </c>
      <c r="T27" s="10">
        <v>476.94299999999998</v>
      </c>
      <c r="U27" s="10">
        <v>9.4280000000000008</v>
      </c>
      <c r="V27" s="10" t="s">
        <v>69</v>
      </c>
      <c r="W27" s="10">
        <v>0.67500000000000004</v>
      </c>
      <c r="X27" s="10" t="s">
        <v>69</v>
      </c>
      <c r="Y27" s="10">
        <v>12.51</v>
      </c>
      <c r="Z27" s="10">
        <v>3016.6</v>
      </c>
      <c r="AA27" s="10">
        <v>637.21399999999994</v>
      </c>
      <c r="AB27" s="10">
        <v>148.87899999999999</v>
      </c>
      <c r="AC27" s="10">
        <v>82.239000000000004</v>
      </c>
      <c r="AD27" s="10" t="s">
        <v>69</v>
      </c>
      <c r="AE27" s="10">
        <v>59.547999999999995</v>
      </c>
    </row>
    <row r="28" spans="1:31" ht="15.75" x14ac:dyDescent="0.25">
      <c r="A28" t="s">
        <v>89</v>
      </c>
      <c r="B28" s="10">
        <v>2328.8419336500001</v>
      </c>
      <c r="C28" s="10">
        <v>105.78116476000001</v>
      </c>
      <c r="D28" s="10">
        <v>3697.41895393</v>
      </c>
      <c r="E28" s="10">
        <v>1579.9232368</v>
      </c>
      <c r="F28" s="10">
        <v>138.20068222999998</v>
      </c>
      <c r="G28" s="10">
        <v>0</v>
      </c>
      <c r="H28" s="10">
        <v>300.50099999999998</v>
      </c>
      <c r="I28" s="10">
        <v>129.637</v>
      </c>
      <c r="J28" s="10">
        <v>109.69399999999999</v>
      </c>
      <c r="K28" s="10">
        <v>340.11836306999999</v>
      </c>
      <c r="L28" s="10">
        <v>152.39499999999998</v>
      </c>
      <c r="M28" s="10">
        <v>3.5999999999999997E-2</v>
      </c>
      <c r="N28" s="10">
        <v>1277.3972110699999</v>
      </c>
      <c r="O28" s="10">
        <v>248.31868952999997</v>
      </c>
      <c r="P28" s="10" t="s">
        <v>69</v>
      </c>
      <c r="Q28" s="10">
        <v>85.244</v>
      </c>
      <c r="R28" s="10">
        <v>384.77300000000002</v>
      </c>
      <c r="S28" s="10">
        <v>6.3077857799999997</v>
      </c>
      <c r="T28" s="10">
        <v>493.79399999999998</v>
      </c>
      <c r="U28" s="10">
        <v>9.52</v>
      </c>
      <c r="V28" s="10" t="s">
        <v>69</v>
      </c>
      <c r="W28" s="10">
        <v>1.018</v>
      </c>
      <c r="X28" s="10" t="s">
        <v>69</v>
      </c>
      <c r="Y28" s="10">
        <v>15.38</v>
      </c>
      <c r="Z28" s="10">
        <v>3500.2000000000003</v>
      </c>
      <c r="AA28" s="10">
        <v>708.26599999999996</v>
      </c>
      <c r="AB28" s="10">
        <v>156.81800000000001</v>
      </c>
      <c r="AC28" s="10">
        <v>83.495999999999995</v>
      </c>
      <c r="AD28" s="10" t="s">
        <v>69</v>
      </c>
      <c r="AE28" s="10">
        <v>-45.943999999999996</v>
      </c>
    </row>
    <row r="29" spans="1:31" ht="15.75" x14ac:dyDescent="0.25">
      <c r="A29" t="s">
        <v>90</v>
      </c>
      <c r="B29" s="10">
        <v>2452.9631405299997</v>
      </c>
      <c r="C29" s="10">
        <v>100.87982883999999</v>
      </c>
      <c r="D29" s="10">
        <v>3487.8999999999996</v>
      </c>
      <c r="E29" s="10">
        <v>1573.1999999999998</v>
      </c>
      <c r="F29" s="10">
        <v>164.36332765999998</v>
      </c>
      <c r="G29" s="10">
        <v>0</v>
      </c>
      <c r="H29" s="10">
        <v>325.37800000000004</v>
      </c>
      <c r="I29" s="10">
        <v>117.252</v>
      </c>
      <c r="J29" s="10">
        <v>101.465</v>
      </c>
      <c r="K29" s="10">
        <v>452.1</v>
      </c>
      <c r="L29" s="10">
        <v>142.13900000000001</v>
      </c>
      <c r="M29" s="10">
        <v>1.2999999999999999E-2</v>
      </c>
      <c r="N29" s="10">
        <v>1277.6053099199999</v>
      </c>
      <c r="O29" s="10">
        <v>316.86115083999999</v>
      </c>
      <c r="P29" s="10" t="s">
        <v>69</v>
      </c>
      <c r="Q29" s="10">
        <v>85.432999999999993</v>
      </c>
      <c r="R29" s="10">
        <v>333.49799999999999</v>
      </c>
      <c r="S29" s="10">
        <v>1.7663463399999999</v>
      </c>
      <c r="T29" s="10">
        <v>475.45299999999997</v>
      </c>
      <c r="U29" s="10">
        <v>9.6920000000000002</v>
      </c>
      <c r="V29" s="10" t="s">
        <v>69</v>
      </c>
      <c r="W29" s="10">
        <v>0.751</v>
      </c>
      <c r="X29" s="10" t="s">
        <v>69</v>
      </c>
      <c r="Y29" s="10">
        <v>8.9649999999999999</v>
      </c>
      <c r="Z29" s="10">
        <v>2964.7</v>
      </c>
      <c r="AA29" s="10">
        <v>603.91300000000001</v>
      </c>
      <c r="AB29" s="10">
        <v>144.97899999999998</v>
      </c>
      <c r="AC29" s="10">
        <v>82.498000000000005</v>
      </c>
      <c r="AD29" s="10" t="s">
        <v>69</v>
      </c>
      <c r="AE29" s="10">
        <v>2.0579999999999927</v>
      </c>
    </row>
    <row r="30" spans="1:31" ht="15.75" x14ac:dyDescent="0.25">
      <c r="A30" t="s">
        <v>91</v>
      </c>
      <c r="B30" s="10">
        <v>2213.2817484300003</v>
      </c>
      <c r="C30" s="10">
        <v>87.323240890000008</v>
      </c>
      <c r="D30" s="10">
        <v>3514.7168471599998</v>
      </c>
      <c r="E30" s="10">
        <v>1328.3538781399998</v>
      </c>
      <c r="F30" s="10">
        <v>153.12023937999999</v>
      </c>
      <c r="G30" s="10">
        <v>0</v>
      </c>
      <c r="H30" s="10">
        <v>376.33600000000001</v>
      </c>
      <c r="I30" s="10">
        <v>128.85599999999999</v>
      </c>
      <c r="J30" s="10">
        <v>86.231999999999999</v>
      </c>
      <c r="K30" s="10">
        <v>440.62250951999999</v>
      </c>
      <c r="L30" s="10">
        <v>164.34799999999998</v>
      </c>
      <c r="M30" s="10">
        <v>-2.3E-3</v>
      </c>
      <c r="N30" s="10">
        <v>1021.70559074</v>
      </c>
      <c r="O30" s="10">
        <v>168.74189737</v>
      </c>
      <c r="P30" s="10" t="s">
        <v>69</v>
      </c>
      <c r="Q30" s="10">
        <v>86.016999999999996</v>
      </c>
      <c r="R30" s="10">
        <v>274.29782999999998</v>
      </c>
      <c r="S30" s="10">
        <v>0.27813622000000005</v>
      </c>
      <c r="T30" s="10">
        <v>444.09800000000007</v>
      </c>
      <c r="U30" s="10">
        <v>9.6940000000000008</v>
      </c>
      <c r="V30" s="10" t="s">
        <v>69</v>
      </c>
      <c r="W30" s="10">
        <v>0.52</v>
      </c>
      <c r="X30" s="10" t="s">
        <v>69</v>
      </c>
      <c r="Y30" s="10">
        <v>6.3109999999999999</v>
      </c>
      <c r="Z30" s="10">
        <v>3427.4</v>
      </c>
      <c r="AA30" s="10">
        <v>681.50299999999993</v>
      </c>
      <c r="AB30" s="10">
        <v>175.93</v>
      </c>
      <c r="AC30" s="10">
        <v>85.063999999999993</v>
      </c>
      <c r="AD30" s="10" t="s">
        <v>69</v>
      </c>
      <c r="AE30" s="10">
        <v>-2.382000000000005</v>
      </c>
    </row>
    <row r="31" spans="1:31" ht="15.75" x14ac:dyDescent="0.25">
      <c r="A31" t="s">
        <v>92</v>
      </c>
      <c r="B31" s="10">
        <v>3392.09517628</v>
      </c>
      <c r="C31" s="10">
        <v>89.095841820000004</v>
      </c>
      <c r="D31" s="10">
        <v>3257.5155999900003</v>
      </c>
      <c r="E31" s="10">
        <v>1352.7213128600001</v>
      </c>
      <c r="F31" s="10">
        <v>159.96567063000003</v>
      </c>
      <c r="G31" s="10">
        <v>759.44354154000007</v>
      </c>
      <c r="H31" s="10">
        <v>445.21000000000004</v>
      </c>
      <c r="I31" s="10">
        <v>118.62599999999998</v>
      </c>
      <c r="J31" s="10">
        <v>45.594000000000001</v>
      </c>
      <c r="K31" s="10">
        <v>420.41145517999996</v>
      </c>
      <c r="L31" s="10">
        <v>141.37299999999999</v>
      </c>
      <c r="M31" s="10">
        <v>2.1000000000000001E-2</v>
      </c>
      <c r="N31" s="10">
        <v>1152.4356953300003</v>
      </c>
      <c r="O31" s="10">
        <v>228.15087158</v>
      </c>
      <c r="P31" s="10" t="s">
        <v>69</v>
      </c>
      <c r="Q31" s="10">
        <v>79.908000000000001</v>
      </c>
      <c r="R31" s="10">
        <v>231.89600000000002</v>
      </c>
      <c r="S31" s="10">
        <v>20.23271969</v>
      </c>
      <c r="T31" s="10">
        <v>442.8</v>
      </c>
      <c r="U31" s="10">
        <v>9.4819999999999993</v>
      </c>
      <c r="V31" s="10" t="s">
        <v>69</v>
      </c>
      <c r="W31" s="10">
        <v>0.30399999999999999</v>
      </c>
      <c r="X31" s="10" t="s">
        <v>69</v>
      </c>
      <c r="Y31" s="10">
        <v>41.916999999999994</v>
      </c>
      <c r="Z31" s="10">
        <v>2832</v>
      </c>
      <c r="AA31" s="10">
        <v>626.625</v>
      </c>
      <c r="AB31" s="10">
        <v>194.36700000000002</v>
      </c>
      <c r="AC31" s="10">
        <v>80.467000000000013</v>
      </c>
      <c r="AD31" s="10" t="s">
        <v>69</v>
      </c>
      <c r="AE31" s="10">
        <v>-19.552</v>
      </c>
    </row>
    <row r="32" spans="1:31" ht="15.75" x14ac:dyDescent="0.25">
      <c r="A32" t="s">
        <v>93</v>
      </c>
      <c r="B32" s="10">
        <v>2139.3833417000001</v>
      </c>
      <c r="C32" s="10">
        <v>83.048790550000007</v>
      </c>
      <c r="D32" s="10">
        <v>3027.1945373099998</v>
      </c>
      <c r="E32" s="10">
        <v>1173.96810407</v>
      </c>
      <c r="F32" s="10">
        <v>118.90460368999999</v>
      </c>
      <c r="G32" s="10">
        <v>1100.5999999999999</v>
      </c>
      <c r="H32" s="10">
        <v>250.25200000000001</v>
      </c>
      <c r="I32" s="10">
        <v>89.866</v>
      </c>
      <c r="J32" s="10">
        <v>47.62</v>
      </c>
      <c r="K32" s="10">
        <v>436.86312510999994</v>
      </c>
      <c r="L32" s="10">
        <v>122.812</v>
      </c>
      <c r="M32" s="10">
        <v>-3.0000000000000001E-3</v>
      </c>
      <c r="N32" s="10">
        <v>1519.3725313199998</v>
      </c>
      <c r="O32" s="10">
        <v>147.19999999999999</v>
      </c>
      <c r="P32" s="10" t="s">
        <v>69</v>
      </c>
      <c r="Q32" s="10">
        <v>74.376000000000005</v>
      </c>
      <c r="R32" s="10">
        <v>197.91499999999999</v>
      </c>
      <c r="S32" s="10">
        <v>23.371586800000003</v>
      </c>
      <c r="T32" s="10">
        <v>366.18</v>
      </c>
      <c r="U32" s="10">
        <v>8.423</v>
      </c>
      <c r="V32" s="10" t="s">
        <v>69</v>
      </c>
      <c r="W32" s="10">
        <v>0.30199999999999999</v>
      </c>
      <c r="X32" s="10" t="s">
        <v>69</v>
      </c>
      <c r="Y32" s="10">
        <v>13.603999999999992</v>
      </c>
      <c r="Z32" s="10">
        <v>3214.7</v>
      </c>
      <c r="AA32" s="10">
        <v>636.90700000000004</v>
      </c>
      <c r="AB32" s="10">
        <v>200.214</v>
      </c>
      <c r="AC32" s="10">
        <v>75.388999999999996</v>
      </c>
      <c r="AD32" s="10" t="s">
        <v>69</v>
      </c>
      <c r="AE32" s="10">
        <v>3.0229999999999997</v>
      </c>
    </row>
    <row r="33" spans="1:31" ht="15.75" x14ac:dyDescent="0.25">
      <c r="A33" t="s">
        <v>94</v>
      </c>
      <c r="B33" s="10">
        <v>2027.17812712</v>
      </c>
      <c r="C33" s="10">
        <v>59.896716259999998</v>
      </c>
      <c r="D33" s="10">
        <v>2596.5780018400001</v>
      </c>
      <c r="E33" s="10">
        <v>873.06324902000006</v>
      </c>
      <c r="F33" s="10">
        <v>118.06095515000001</v>
      </c>
      <c r="G33" s="10">
        <v>1072.9313731699999</v>
      </c>
      <c r="H33" s="10">
        <v>263.94600000000003</v>
      </c>
      <c r="I33" s="10">
        <v>73.597999999999999</v>
      </c>
      <c r="J33" s="10">
        <v>46.405999999999992</v>
      </c>
      <c r="K33" s="10">
        <v>475.23158685999999</v>
      </c>
      <c r="L33" s="10">
        <v>103.21100000000001</v>
      </c>
      <c r="M33" s="10">
        <v>0</v>
      </c>
      <c r="N33" s="10">
        <v>1324.9071929800002</v>
      </c>
      <c r="O33" s="10">
        <v>225.24028276999999</v>
      </c>
      <c r="P33" s="10" t="s">
        <v>69</v>
      </c>
      <c r="Q33" s="10">
        <v>62.052999999999997</v>
      </c>
      <c r="R33" s="10">
        <v>135.714</v>
      </c>
      <c r="S33" s="10">
        <v>8.4654247500000004</v>
      </c>
      <c r="T33" s="10">
        <v>287.404</v>
      </c>
      <c r="U33" s="10">
        <v>6.819</v>
      </c>
      <c r="V33" s="10" t="s">
        <v>69</v>
      </c>
      <c r="W33" s="10">
        <v>0.32200000000000001</v>
      </c>
      <c r="X33" s="10" t="s">
        <v>69</v>
      </c>
      <c r="Y33" s="10">
        <v>-14.170999999999999</v>
      </c>
      <c r="Z33" s="10">
        <v>2387.5</v>
      </c>
      <c r="AA33" s="10">
        <v>538.46199999999999</v>
      </c>
      <c r="AB33" s="10">
        <v>166.17599999999999</v>
      </c>
      <c r="AC33" s="10">
        <v>63.369</v>
      </c>
      <c r="AD33" s="10" t="s">
        <v>69</v>
      </c>
      <c r="AE33" s="10">
        <v>42.152000000000001</v>
      </c>
    </row>
    <row r="34" spans="1:31" ht="15.75" x14ac:dyDescent="0.25">
      <c r="A34" t="s">
        <v>95</v>
      </c>
      <c r="B34" s="10">
        <v>1527.95812561</v>
      </c>
      <c r="C34" s="10">
        <v>43.76008203</v>
      </c>
      <c r="D34" s="10">
        <v>2592.3508054200001</v>
      </c>
      <c r="E34" s="10">
        <v>644.66618607999999</v>
      </c>
      <c r="F34" s="10">
        <v>102.03980751</v>
      </c>
      <c r="G34" s="10">
        <v>977.59999999999991</v>
      </c>
      <c r="H34" s="10">
        <v>328.88099999999997</v>
      </c>
      <c r="I34" s="10">
        <v>83.51700000000001</v>
      </c>
      <c r="J34" s="10">
        <v>51.238</v>
      </c>
      <c r="K34" s="10">
        <v>165.28953991999998</v>
      </c>
      <c r="L34" s="10">
        <v>121.705</v>
      </c>
      <c r="M34" s="10">
        <v>0.14899999999999999</v>
      </c>
      <c r="N34" s="10">
        <v>1459.2573487199998</v>
      </c>
      <c r="O34" s="10">
        <v>117.60000000000001</v>
      </c>
      <c r="P34" s="10" t="s">
        <v>69</v>
      </c>
      <c r="Q34" s="10">
        <v>50.257999999999996</v>
      </c>
      <c r="R34" s="10">
        <v>98.322999999999993</v>
      </c>
      <c r="S34" s="10">
        <v>102.36880765000001</v>
      </c>
      <c r="T34" s="10">
        <v>201.71100000000001</v>
      </c>
      <c r="U34" s="10">
        <v>5.8040000000000003</v>
      </c>
      <c r="V34" s="10">
        <v>-6.4029999999999987</v>
      </c>
      <c r="W34" s="10">
        <v>0.31</v>
      </c>
      <c r="X34" s="10" t="s">
        <v>69</v>
      </c>
      <c r="Y34" s="10">
        <v>5.1400000000000006</v>
      </c>
      <c r="Z34" s="10">
        <v>2320.5</v>
      </c>
      <c r="AA34" s="10">
        <v>574.96900000000005</v>
      </c>
      <c r="AB34" s="10">
        <v>163.01799999999997</v>
      </c>
      <c r="AC34" s="10">
        <v>53.319999999999993</v>
      </c>
      <c r="AD34" s="10" t="s">
        <v>69</v>
      </c>
      <c r="AE34" s="10">
        <v>55.816000000000003</v>
      </c>
    </row>
    <row r="35" spans="1:31" ht="15.75" x14ac:dyDescent="0.25">
      <c r="A35" t="s">
        <v>96</v>
      </c>
      <c r="B35" s="10">
        <v>2085.02028733</v>
      </c>
      <c r="C35" s="10">
        <v>73.870473680000003</v>
      </c>
      <c r="D35" s="10">
        <v>3105.1722029399998</v>
      </c>
      <c r="E35" s="10">
        <v>1210.3664909899999</v>
      </c>
      <c r="F35" s="10">
        <v>111.30117762</v>
      </c>
      <c r="G35" s="10">
        <v>1237.6000000000001</v>
      </c>
      <c r="H35" s="10">
        <v>339.38499999999999</v>
      </c>
      <c r="I35" s="10">
        <v>87.257000000000005</v>
      </c>
      <c r="J35" s="10">
        <v>49.943000000000005</v>
      </c>
      <c r="K35" s="10">
        <v>502.67787237999994</v>
      </c>
      <c r="L35" s="10">
        <v>255.477</v>
      </c>
      <c r="M35" s="10">
        <v>0</v>
      </c>
      <c r="N35" s="10">
        <v>1635.7867999999999</v>
      </c>
      <c r="O35" s="10">
        <v>142.60000000000002</v>
      </c>
      <c r="P35" s="10" t="s">
        <v>69</v>
      </c>
      <c r="Q35" s="10">
        <v>56.153000000000006</v>
      </c>
      <c r="R35" s="10">
        <v>104.858</v>
      </c>
      <c r="S35" s="10">
        <v>1261.2292538000002</v>
      </c>
      <c r="T35" s="10">
        <v>296.31799999999998</v>
      </c>
      <c r="U35" s="10">
        <v>10.135000000000002</v>
      </c>
      <c r="V35" s="10">
        <v>4.6120000000000001</v>
      </c>
      <c r="W35" s="10">
        <v>0.53800000000000003</v>
      </c>
      <c r="X35" s="10" t="s">
        <v>69</v>
      </c>
      <c r="Y35" s="10">
        <v>5.8879999999999999</v>
      </c>
      <c r="Z35" s="10">
        <v>2309.6</v>
      </c>
      <c r="AA35" s="10">
        <v>573.93899999999996</v>
      </c>
      <c r="AB35" s="10">
        <v>163.13999999999999</v>
      </c>
      <c r="AC35" s="10">
        <v>49.430999999999997</v>
      </c>
      <c r="AD35" s="10" t="s">
        <v>69</v>
      </c>
      <c r="AE35" s="10">
        <v>6.3449999999999918</v>
      </c>
    </row>
    <row r="36" spans="1:31" ht="15.75" x14ac:dyDescent="0.25">
      <c r="A36" t="s">
        <v>97</v>
      </c>
      <c r="B36" s="10">
        <v>2281.9340991499998</v>
      </c>
      <c r="C36" s="10">
        <v>94.175592929999993</v>
      </c>
      <c r="D36" s="10">
        <v>3835.9660920999995</v>
      </c>
      <c r="E36" s="10">
        <v>1436.0050715799998</v>
      </c>
      <c r="F36" s="10">
        <v>166.45677387999999</v>
      </c>
      <c r="G36" s="10">
        <v>1312.86473574</v>
      </c>
      <c r="H36" s="10">
        <v>366.11599999999999</v>
      </c>
      <c r="I36" s="10">
        <v>77.606999999999999</v>
      </c>
      <c r="J36" s="10">
        <v>54.915999999999997</v>
      </c>
      <c r="K36" s="10">
        <v>1143.3928483699999</v>
      </c>
      <c r="L36" s="10">
        <v>456.09899999999993</v>
      </c>
      <c r="M36" s="10">
        <v>0</v>
      </c>
      <c r="N36" s="10">
        <v>1986.7431405500001</v>
      </c>
      <c r="O36" s="10">
        <v>149.22739109999998</v>
      </c>
      <c r="P36" s="10" t="s">
        <v>69</v>
      </c>
      <c r="Q36" s="10">
        <v>56.371000000000002</v>
      </c>
      <c r="R36" s="10">
        <v>56.023000000000003</v>
      </c>
      <c r="S36" s="10">
        <v>1779.9185715799999</v>
      </c>
      <c r="T36" s="10">
        <v>372.56700000000001</v>
      </c>
      <c r="U36" s="10">
        <v>12.678999999999998</v>
      </c>
      <c r="V36" s="10">
        <v>0.373</v>
      </c>
      <c r="W36" s="10">
        <v>0.91099999999999992</v>
      </c>
      <c r="X36" s="10" t="s">
        <v>69</v>
      </c>
      <c r="Y36" s="10">
        <v>7.3119999999999994</v>
      </c>
      <c r="Z36" s="10">
        <v>2565.1999999999998</v>
      </c>
      <c r="AA36" s="10">
        <v>654.66800000000001</v>
      </c>
      <c r="AB36" s="10">
        <v>177.042</v>
      </c>
      <c r="AC36" s="10">
        <v>59.8</v>
      </c>
      <c r="AD36" s="10" t="s">
        <v>69</v>
      </c>
      <c r="AE36" s="10">
        <v>1.0530000000000002</v>
      </c>
    </row>
    <row r="37" spans="1:31" ht="15.75" x14ac:dyDescent="0.25">
      <c r="A37" t="s">
        <v>98</v>
      </c>
      <c r="B37" s="10">
        <v>2796.1388435899999</v>
      </c>
      <c r="C37" s="10">
        <v>101.49262114</v>
      </c>
      <c r="D37" s="10">
        <v>3833.6428390299998</v>
      </c>
      <c r="E37" s="10">
        <v>1512.9667032299999</v>
      </c>
      <c r="F37" s="10">
        <v>147.69427705999999</v>
      </c>
      <c r="G37" s="10">
        <v>1319.5105352400001</v>
      </c>
      <c r="H37" s="10">
        <v>395.22500000000002</v>
      </c>
      <c r="I37" s="10">
        <v>90.574000000000012</v>
      </c>
      <c r="J37" s="10">
        <v>58.475000000000001</v>
      </c>
      <c r="K37" s="10">
        <v>1106.38239527</v>
      </c>
      <c r="L37" s="10">
        <v>461.65899999999999</v>
      </c>
      <c r="M37" s="10">
        <v>8.1000000000000003E-2</v>
      </c>
      <c r="N37" s="10">
        <v>2204.2267520300002</v>
      </c>
      <c r="O37" s="10">
        <v>148.80237585</v>
      </c>
      <c r="P37" s="10" t="s">
        <v>69</v>
      </c>
      <c r="Q37" s="10">
        <v>58.646000000000001</v>
      </c>
      <c r="R37" s="10">
        <v>81.966000000000008</v>
      </c>
      <c r="S37" s="10">
        <v>1754.0649541399998</v>
      </c>
      <c r="T37" s="10">
        <v>399.37199999999996</v>
      </c>
      <c r="U37" s="10">
        <v>12.860000000000001</v>
      </c>
      <c r="V37" s="10">
        <v>7.8E-2</v>
      </c>
      <c r="W37" s="10">
        <v>1.4060000000000001</v>
      </c>
      <c r="X37" s="10" t="s">
        <v>69</v>
      </c>
      <c r="Y37" s="10">
        <v>7.2309999999999999</v>
      </c>
      <c r="Z37" s="10">
        <v>2547</v>
      </c>
      <c r="AA37" s="10">
        <v>648.99700000000007</v>
      </c>
      <c r="AB37" s="10">
        <v>177.19299999999998</v>
      </c>
      <c r="AC37" s="10">
        <v>59.712000000000003</v>
      </c>
      <c r="AD37" s="10" t="s">
        <v>69</v>
      </c>
      <c r="AE37" s="10">
        <v>22.966999999999999</v>
      </c>
    </row>
    <row r="38" spans="1:31" ht="15.75" x14ac:dyDescent="0.25">
      <c r="A38" t="s">
        <v>99</v>
      </c>
      <c r="B38" s="10">
        <v>2582.92405521</v>
      </c>
      <c r="C38" s="10">
        <v>98.880253079999989</v>
      </c>
      <c r="D38" s="10">
        <v>3888.1653683799996</v>
      </c>
      <c r="E38" s="10">
        <v>1573.38938115</v>
      </c>
      <c r="F38" s="10">
        <v>155.37586869999998</v>
      </c>
      <c r="G38" s="10">
        <v>1331.3000000000002</v>
      </c>
      <c r="H38" s="10">
        <v>401.31997669999998</v>
      </c>
      <c r="I38" s="10">
        <v>98.196252560000005</v>
      </c>
      <c r="J38" s="10">
        <v>55.111617059999986</v>
      </c>
      <c r="K38" s="10">
        <v>922.04520263999996</v>
      </c>
      <c r="L38" s="10">
        <v>332.22924404999998</v>
      </c>
      <c r="M38" s="10">
        <v>0</v>
      </c>
      <c r="N38" s="10">
        <v>1737.5109086</v>
      </c>
      <c r="O38" s="10">
        <v>96.1</v>
      </c>
      <c r="P38" s="10" t="s">
        <v>69</v>
      </c>
      <c r="Q38" s="10">
        <v>61.512031480000005</v>
      </c>
      <c r="R38" s="10">
        <v>87.815380210000001</v>
      </c>
      <c r="S38" s="10">
        <v>2023.37895265</v>
      </c>
      <c r="T38" s="10">
        <v>396.33406911000003</v>
      </c>
      <c r="U38" s="10">
        <v>12.668718629999999</v>
      </c>
      <c r="V38" s="10">
        <v>4.4242280000000002E-2</v>
      </c>
      <c r="W38" s="10">
        <v>0.50880087000000007</v>
      </c>
      <c r="X38" s="10" t="s">
        <v>69</v>
      </c>
      <c r="Y38" s="10">
        <v>11.524388070000001</v>
      </c>
      <c r="Z38" s="10">
        <v>2914</v>
      </c>
      <c r="AA38" s="10">
        <v>759.93470811999998</v>
      </c>
      <c r="AB38" s="10">
        <v>202.0674041</v>
      </c>
      <c r="AC38" s="10">
        <v>65.19684620999999</v>
      </c>
      <c r="AD38" s="10" t="s">
        <v>69</v>
      </c>
      <c r="AE38" s="10">
        <v>-13.576325610000008</v>
      </c>
    </row>
    <row r="39" spans="1:31" ht="15.75" x14ac:dyDescent="0.25">
      <c r="A39" t="s">
        <v>100</v>
      </c>
      <c r="B39" s="10">
        <v>4653.1475373800004</v>
      </c>
      <c r="C39" s="10">
        <v>119.72136430999998</v>
      </c>
      <c r="D39" s="10">
        <v>3999.6690221999997</v>
      </c>
      <c r="E39" s="10">
        <v>1873.5884610100002</v>
      </c>
      <c r="F39" s="10">
        <v>463.50613276999997</v>
      </c>
      <c r="G39" s="10">
        <v>1428.8522368700001</v>
      </c>
      <c r="H39" s="10">
        <v>393.25665211</v>
      </c>
      <c r="I39" s="10">
        <v>93.44451955000001</v>
      </c>
      <c r="J39" s="10">
        <v>63.019004510000002</v>
      </c>
      <c r="K39" s="10">
        <v>1170.8523902700001</v>
      </c>
      <c r="L39" s="10">
        <v>338.00559795000009</v>
      </c>
      <c r="M39" s="10">
        <v>0</v>
      </c>
      <c r="N39" s="10">
        <v>2144.9517034</v>
      </c>
      <c r="O39" s="10">
        <v>803.56700522999995</v>
      </c>
      <c r="P39" s="10" t="s">
        <v>69</v>
      </c>
      <c r="Q39" s="10">
        <v>72.921991129999995</v>
      </c>
      <c r="R39" s="10">
        <v>92.847846379999993</v>
      </c>
      <c r="S39" s="10">
        <v>2708.7149827500002</v>
      </c>
      <c r="T39" s="10">
        <v>477.05229395000009</v>
      </c>
      <c r="U39" s="10">
        <v>14.370959619999999</v>
      </c>
      <c r="V39" s="10">
        <v>-9.6600499999999999E-3</v>
      </c>
      <c r="W39" s="10">
        <v>0.63281955000000001</v>
      </c>
      <c r="X39" s="10" t="s">
        <v>69</v>
      </c>
      <c r="Y39" s="10">
        <v>15.653735430000001</v>
      </c>
      <c r="Z39" s="10">
        <v>2768.7</v>
      </c>
      <c r="AA39" s="10">
        <v>715.9115929699999</v>
      </c>
      <c r="AB39" s="10">
        <v>197.40021415000001</v>
      </c>
      <c r="AC39" s="10">
        <v>71.845496589999996</v>
      </c>
      <c r="AD39" s="10" t="s">
        <v>69</v>
      </c>
      <c r="AE39" s="10">
        <v>-2.4361514700000009</v>
      </c>
    </row>
    <row r="40" spans="1:31" ht="15.75" x14ac:dyDescent="0.25">
      <c r="A40" t="s">
        <v>101</v>
      </c>
      <c r="B40" s="10">
        <v>3358.0265271899998</v>
      </c>
      <c r="C40" s="10">
        <v>154.82996713</v>
      </c>
      <c r="D40" s="10">
        <v>4368.1707135300003</v>
      </c>
      <c r="E40" s="10">
        <v>2378.6967672000001</v>
      </c>
      <c r="F40" s="10">
        <v>371.85096226999997</v>
      </c>
      <c r="G40" s="10">
        <v>1505.3128780100001</v>
      </c>
      <c r="H40" s="10">
        <v>457.39189462000002</v>
      </c>
      <c r="I40" s="10">
        <v>121.33268932</v>
      </c>
      <c r="J40" s="10">
        <v>66.821901459999992</v>
      </c>
      <c r="K40" s="10">
        <v>1046.3494778899999</v>
      </c>
      <c r="L40" s="10">
        <v>346.76842132999991</v>
      </c>
      <c r="M40" s="10">
        <v>0</v>
      </c>
      <c r="N40" s="10">
        <v>2055.0761625999999</v>
      </c>
      <c r="O40" s="10">
        <v>412.58823993000004</v>
      </c>
      <c r="P40" s="10" t="s">
        <v>69</v>
      </c>
      <c r="Q40" s="10">
        <v>75.585831749999983</v>
      </c>
      <c r="R40" s="10">
        <v>94.241104269999994</v>
      </c>
      <c r="S40" s="10">
        <v>2222.7586334299999</v>
      </c>
      <c r="T40" s="10">
        <v>611.08524624999995</v>
      </c>
      <c r="U40" s="10">
        <v>15.64230304</v>
      </c>
      <c r="V40" s="10">
        <v>-39.589567960000004</v>
      </c>
      <c r="W40" s="10">
        <v>0.66004700999999999</v>
      </c>
      <c r="X40" s="10" t="s">
        <v>69</v>
      </c>
      <c r="Y40" s="10">
        <v>19.973774160000001</v>
      </c>
      <c r="Z40" s="10">
        <v>3383</v>
      </c>
      <c r="AA40" s="10">
        <v>854.09886608000011</v>
      </c>
      <c r="AB40" s="10">
        <v>235.34010845999995</v>
      </c>
      <c r="AC40" s="10">
        <v>78.97770374000001</v>
      </c>
      <c r="AD40" s="10" t="s">
        <v>69</v>
      </c>
      <c r="AE40" s="10">
        <v>4.5222142000000041</v>
      </c>
    </row>
    <row r="41" spans="1:31" ht="15.75" x14ac:dyDescent="0.25">
      <c r="A41" t="s">
        <v>102</v>
      </c>
      <c r="B41" s="10">
        <v>3610.5283307999998</v>
      </c>
      <c r="C41" s="10">
        <v>172.67858555000001</v>
      </c>
      <c r="D41" s="10">
        <v>4377.5341892300003</v>
      </c>
      <c r="E41" s="10">
        <v>2828.4620396999999</v>
      </c>
      <c r="F41" s="10">
        <v>372.03581245999999</v>
      </c>
      <c r="G41" s="10">
        <v>1634.7535219300003</v>
      </c>
      <c r="H41" s="10">
        <v>518.18123070000001</v>
      </c>
      <c r="I41" s="10">
        <v>148.90874178000001</v>
      </c>
      <c r="J41" s="10">
        <v>71.352209510000009</v>
      </c>
      <c r="K41" s="10">
        <v>1200.8560977</v>
      </c>
      <c r="L41" s="10">
        <v>350.20352695999998</v>
      </c>
      <c r="M41" s="10">
        <v>0</v>
      </c>
      <c r="N41" s="10">
        <v>2399.7065963599998</v>
      </c>
      <c r="O41" s="10">
        <v>290.53134338000001</v>
      </c>
      <c r="P41" s="10" t="s">
        <v>69</v>
      </c>
      <c r="Q41" s="10">
        <v>72.721529019999991</v>
      </c>
      <c r="R41" s="10">
        <v>100.90951000999999</v>
      </c>
      <c r="S41" s="10">
        <v>2257.0456969399997</v>
      </c>
      <c r="T41" s="10">
        <v>743.73817089000011</v>
      </c>
      <c r="U41" s="10">
        <v>17.777999750000003</v>
      </c>
      <c r="V41" s="10">
        <v>-156.18413068000001</v>
      </c>
      <c r="W41" s="10">
        <v>0.64855707000000007</v>
      </c>
      <c r="X41" s="10" t="s">
        <v>69</v>
      </c>
      <c r="Y41" s="10">
        <v>23.933947529999998</v>
      </c>
      <c r="Z41" s="10">
        <v>3260.3</v>
      </c>
      <c r="AA41" s="10">
        <v>799.50435062000008</v>
      </c>
      <c r="AB41" s="10">
        <v>240.87894560000001</v>
      </c>
      <c r="AC41" s="10">
        <v>78.647066100000004</v>
      </c>
      <c r="AD41" s="10" t="s">
        <v>69</v>
      </c>
      <c r="AE41" s="10">
        <v>10.17213682</v>
      </c>
    </row>
    <row r="42" spans="1:31" ht="15.75" x14ac:dyDescent="0.25">
      <c r="A42" t="s">
        <v>103</v>
      </c>
      <c r="B42" s="10">
        <v>3211.5</v>
      </c>
      <c r="C42" s="10">
        <v>167.70000000000002</v>
      </c>
      <c r="D42" s="10">
        <v>4969.1000000000004</v>
      </c>
      <c r="E42" s="10">
        <v>2576.1999999999998</v>
      </c>
      <c r="F42" s="10">
        <v>360.20000000000005</v>
      </c>
      <c r="G42" s="10">
        <v>1728.6</v>
      </c>
      <c r="H42" s="10">
        <v>561.50716098999999</v>
      </c>
      <c r="I42" s="10">
        <v>159.26543136999999</v>
      </c>
      <c r="J42" s="10">
        <v>84.632504549999993</v>
      </c>
      <c r="K42" s="10">
        <v>600.29999999999995</v>
      </c>
      <c r="L42" s="10">
        <v>300</v>
      </c>
      <c r="M42" s="10">
        <v>2.375969E-2</v>
      </c>
      <c r="N42" s="10">
        <v>1748.0664054199999</v>
      </c>
      <c r="O42" s="10">
        <v>163.9</v>
      </c>
      <c r="P42" s="10" t="s">
        <v>69</v>
      </c>
      <c r="Q42" s="10">
        <v>80.587107669999995</v>
      </c>
      <c r="R42" s="10">
        <v>98.817312889999982</v>
      </c>
      <c r="S42" s="10">
        <v>1966.0000000000002</v>
      </c>
      <c r="T42" s="10">
        <v>658.98185536999995</v>
      </c>
      <c r="U42" s="10">
        <v>17.369305180000001</v>
      </c>
      <c r="V42" s="10">
        <v>28.214399</v>
      </c>
      <c r="W42" s="10">
        <v>0.83954717000000001</v>
      </c>
      <c r="X42" s="10" t="s">
        <v>69</v>
      </c>
      <c r="Y42" s="10">
        <v>108.11545702999999</v>
      </c>
      <c r="Z42" s="10">
        <v>4049.7000000000003</v>
      </c>
      <c r="AA42" s="10">
        <v>987.85476643000015</v>
      </c>
      <c r="AB42" s="10">
        <v>306.18891717999998</v>
      </c>
      <c r="AC42" s="10">
        <v>89.554486280000006</v>
      </c>
      <c r="AD42" s="10" t="s">
        <v>69</v>
      </c>
      <c r="AE42" s="10">
        <v>3.7410031600000035</v>
      </c>
    </row>
    <row r="43" spans="1:31" ht="15.75" x14ac:dyDescent="0.25">
      <c r="A43" t="s">
        <v>104</v>
      </c>
      <c r="B43" s="10">
        <v>9750.2576634599991</v>
      </c>
      <c r="C43" s="10">
        <v>233.91171796</v>
      </c>
      <c r="D43" s="10">
        <v>5062.6645917300002</v>
      </c>
      <c r="E43" s="10">
        <v>3505.6833513500001</v>
      </c>
      <c r="F43" s="10">
        <v>304.26594688</v>
      </c>
      <c r="G43" s="10">
        <v>1995.2333851399999</v>
      </c>
      <c r="H43" s="10">
        <v>533.12868672000002</v>
      </c>
      <c r="I43" s="10">
        <v>176.50580284</v>
      </c>
      <c r="J43" s="10">
        <v>85.169031949999976</v>
      </c>
      <c r="K43" s="10">
        <v>378.58162216000005</v>
      </c>
      <c r="L43" s="10">
        <v>375</v>
      </c>
      <c r="M43" s="10">
        <v>1.285234E-2</v>
      </c>
      <c r="N43" s="10">
        <v>2252.62403679</v>
      </c>
      <c r="O43" s="10">
        <v>995.90731084000004</v>
      </c>
      <c r="P43" s="10" t="s">
        <v>69</v>
      </c>
      <c r="Q43" s="10">
        <v>99.999341590000014</v>
      </c>
      <c r="R43" s="10">
        <v>102.50312675999999</v>
      </c>
      <c r="S43" s="10">
        <v>2929.8229932499999</v>
      </c>
      <c r="T43" s="10">
        <v>808.63843700999996</v>
      </c>
      <c r="U43" s="10">
        <v>20.568997399999997</v>
      </c>
      <c r="V43" s="10">
        <v>-10.763892779999999</v>
      </c>
      <c r="W43" s="10">
        <v>0.76981759000000005</v>
      </c>
      <c r="X43" s="10" t="s">
        <v>69</v>
      </c>
      <c r="Y43" s="10">
        <v>106.47064969000002</v>
      </c>
      <c r="Z43" s="10">
        <v>4383.2</v>
      </c>
      <c r="AA43" s="10">
        <v>1053.5204578899998</v>
      </c>
      <c r="AB43" s="10">
        <v>329.36874999000003</v>
      </c>
      <c r="AC43" s="10">
        <v>99.305308409999995</v>
      </c>
      <c r="AD43" s="32" t="s">
        <v>69</v>
      </c>
      <c r="AE43" s="10">
        <v>103.50671955999999</v>
      </c>
    </row>
    <row r="44" spans="1:31" ht="15.75" x14ac:dyDescent="0.25">
      <c r="A44" t="s">
        <v>105</v>
      </c>
      <c r="B44" s="10">
        <v>4619.2095042000001</v>
      </c>
      <c r="C44" s="10">
        <v>257.03837170000003</v>
      </c>
      <c r="D44" s="10">
        <v>5272.3254336299997</v>
      </c>
      <c r="E44" s="10">
        <v>3543.3055625799998</v>
      </c>
      <c r="F44" s="10">
        <v>265.15609334999999</v>
      </c>
      <c r="G44" s="10">
        <v>1990.50254129</v>
      </c>
      <c r="H44" s="10">
        <v>563.08824742000002</v>
      </c>
      <c r="I44" s="10">
        <v>193.72911707999998</v>
      </c>
      <c r="J44" s="10">
        <v>83.143740579999985</v>
      </c>
      <c r="K44" s="10">
        <v>372.00231272999997</v>
      </c>
      <c r="L44" s="10">
        <v>420</v>
      </c>
      <c r="M44" s="10">
        <v>-1.285234E-2</v>
      </c>
      <c r="N44" s="10">
        <v>2171.5887030999997</v>
      </c>
      <c r="O44" s="10">
        <v>259.94173493</v>
      </c>
      <c r="P44" s="10" t="s">
        <v>69</v>
      </c>
      <c r="Q44" s="10">
        <v>188.97335871000001</v>
      </c>
      <c r="R44" s="10">
        <v>109.53283250000001</v>
      </c>
      <c r="S44" s="10">
        <v>2756.9026628000001</v>
      </c>
      <c r="T44" s="10">
        <v>865.05828975999998</v>
      </c>
      <c r="U44" s="10">
        <v>21.781623619999998</v>
      </c>
      <c r="V44" s="10">
        <v>-7.1737781899999993</v>
      </c>
      <c r="W44" s="10">
        <v>0.89433801999999996</v>
      </c>
      <c r="X44" s="10" t="s">
        <v>69</v>
      </c>
      <c r="Y44" s="10">
        <v>114.88431967999998</v>
      </c>
      <c r="Z44" s="10">
        <v>4629.8999999999996</v>
      </c>
      <c r="AA44" s="10">
        <v>1071.1936752499998</v>
      </c>
      <c r="AB44" s="10">
        <v>338.69293484999997</v>
      </c>
      <c r="AC44" s="10">
        <v>158.64690142999999</v>
      </c>
      <c r="AD44" s="10" t="s">
        <v>69</v>
      </c>
      <c r="AE44" s="10">
        <v>64.30424081999999</v>
      </c>
    </row>
    <row r="45" spans="1:31" ht="15.75" x14ac:dyDescent="0.25">
      <c r="A45" t="s">
        <v>106</v>
      </c>
      <c r="B45" s="10">
        <v>4256.7</v>
      </c>
      <c r="C45" s="10">
        <v>256</v>
      </c>
      <c r="D45" s="10">
        <v>5105.1000000000004</v>
      </c>
      <c r="E45" s="10">
        <v>3626.3999999999996</v>
      </c>
      <c r="F45" s="10">
        <v>273.29999999999995</v>
      </c>
      <c r="G45" s="10">
        <v>2068.8000000000002</v>
      </c>
      <c r="H45" s="10">
        <v>669.09828886000003</v>
      </c>
      <c r="I45" s="10">
        <v>215.69458602999998</v>
      </c>
      <c r="J45" s="10">
        <v>100.88434217999998</v>
      </c>
      <c r="K45" s="10">
        <v>813.5</v>
      </c>
      <c r="L45" s="10">
        <v>494</v>
      </c>
      <c r="M45" s="10">
        <v>-5.2210220000000002E-2</v>
      </c>
      <c r="N45" s="10">
        <v>2811.7655532399999</v>
      </c>
      <c r="O45" s="10">
        <v>268.60000000000002</v>
      </c>
      <c r="P45" s="10" t="s">
        <v>69</v>
      </c>
      <c r="Q45" s="10">
        <v>167.62460824999999</v>
      </c>
      <c r="R45" s="10">
        <v>106.90589828</v>
      </c>
      <c r="S45" s="10">
        <v>2578</v>
      </c>
      <c r="T45" s="10">
        <v>884.09916754999995</v>
      </c>
      <c r="U45" s="10">
        <v>23.031992880000001</v>
      </c>
      <c r="V45" s="10">
        <v>-3.1902287600000001</v>
      </c>
      <c r="W45" s="10">
        <v>1.0017358300000001</v>
      </c>
      <c r="X45" s="10" t="s">
        <v>69</v>
      </c>
      <c r="Y45" s="10">
        <v>116.46576563000002</v>
      </c>
      <c r="Z45" s="10">
        <v>4100.7000000000007</v>
      </c>
      <c r="AA45" s="10">
        <v>965.27208883999992</v>
      </c>
      <c r="AB45" s="10">
        <v>319.88471501000004</v>
      </c>
      <c r="AC45" s="10">
        <v>135.78482292999996</v>
      </c>
      <c r="AD45" s="10" t="s">
        <v>69</v>
      </c>
      <c r="AE45" s="10">
        <v>98.224813359999999</v>
      </c>
    </row>
    <row r="46" spans="1:31" ht="15.75" x14ac:dyDescent="0.25">
      <c r="A46" t="s">
        <v>107</v>
      </c>
      <c r="B46" s="10">
        <v>5081.3</v>
      </c>
      <c r="C46" s="10">
        <v>235.7</v>
      </c>
      <c r="D46" s="10">
        <v>5518.2</v>
      </c>
      <c r="E46" s="10">
        <v>3339.4</v>
      </c>
      <c r="F46" s="10">
        <v>290.7</v>
      </c>
      <c r="G46" s="10">
        <v>2060.4</v>
      </c>
      <c r="H46" s="10">
        <v>651.48182795000002</v>
      </c>
      <c r="I46" s="10">
        <v>211.88040387999999</v>
      </c>
      <c r="J46" s="10">
        <v>96.127964419999984</v>
      </c>
      <c r="K46" s="10">
        <v>606</v>
      </c>
      <c r="L46" s="10">
        <v>370</v>
      </c>
      <c r="M46" s="10">
        <v>0</v>
      </c>
      <c r="N46" s="10">
        <v>2038.63297696</v>
      </c>
      <c r="O46" s="10">
        <v>158.79999999999998</v>
      </c>
      <c r="P46" s="10" t="s">
        <v>69</v>
      </c>
      <c r="Q46" s="10">
        <v>181.21772941</v>
      </c>
      <c r="R46" s="10">
        <v>122.46583311999881</v>
      </c>
      <c r="S46" s="10">
        <v>2569</v>
      </c>
      <c r="T46" s="10">
        <v>781.04203237000002</v>
      </c>
      <c r="U46" s="10">
        <v>20.975468099999997</v>
      </c>
      <c r="V46" s="10">
        <v>-3.13596071</v>
      </c>
      <c r="W46" s="10">
        <v>1.0259523500000001</v>
      </c>
      <c r="X46" s="10" t="s">
        <v>69</v>
      </c>
      <c r="Y46" s="10">
        <v>113.20039401</v>
      </c>
      <c r="Z46" s="10">
        <v>4936.8999999999996</v>
      </c>
      <c r="AA46" s="10">
        <v>1182.1465727900002</v>
      </c>
      <c r="AB46" s="10">
        <v>374.88494497000005</v>
      </c>
      <c r="AC46" s="10">
        <v>140.98891423999999</v>
      </c>
      <c r="AD46" s="10" t="s">
        <v>69</v>
      </c>
      <c r="AE46" s="10">
        <v>-13.547476559999994</v>
      </c>
    </row>
    <row r="47" spans="1:31" ht="15.75" x14ac:dyDescent="0.25">
      <c r="A47" t="s">
        <v>108</v>
      </c>
      <c r="B47" s="10">
        <v>9001.3213988500011</v>
      </c>
      <c r="C47" s="10">
        <v>269.05556414</v>
      </c>
      <c r="D47" s="10">
        <v>5729.4497841100001</v>
      </c>
      <c r="E47" s="10">
        <v>4173.32076375</v>
      </c>
      <c r="F47" s="10">
        <v>271.6036454</v>
      </c>
      <c r="G47" s="10">
        <v>2330.5297577799997</v>
      </c>
      <c r="H47" s="10">
        <v>684.55251277000002</v>
      </c>
      <c r="I47" s="10">
        <v>219.41951537999995</v>
      </c>
      <c r="J47" s="10">
        <v>98.892594040000006</v>
      </c>
      <c r="K47" s="10">
        <v>725.06645589000004</v>
      </c>
      <c r="L47" s="10">
        <v>470</v>
      </c>
      <c r="M47" s="10">
        <v>0</v>
      </c>
      <c r="N47" s="10">
        <v>2405.78971348</v>
      </c>
      <c r="O47" s="10">
        <v>1055.2725335</v>
      </c>
      <c r="P47" s="10" t="s">
        <v>69</v>
      </c>
      <c r="Q47" s="10">
        <v>185.58439987</v>
      </c>
      <c r="R47" s="10">
        <v>126.43588769000002</v>
      </c>
      <c r="S47" s="10">
        <v>3558.7821682200001</v>
      </c>
      <c r="T47" s="10">
        <v>908.15880414000003</v>
      </c>
      <c r="U47" s="10">
        <v>23.044888760000003</v>
      </c>
      <c r="V47" s="10">
        <v>-3.7878434500000004</v>
      </c>
      <c r="W47" s="10">
        <v>0.89855107999999995</v>
      </c>
      <c r="X47" s="10" t="s">
        <v>69</v>
      </c>
      <c r="Y47" s="10">
        <v>134.86446674000001</v>
      </c>
      <c r="Z47" s="10">
        <v>4602.7</v>
      </c>
      <c r="AA47" s="10">
        <v>1072.7334910499999</v>
      </c>
      <c r="AB47" s="10">
        <v>374.11714809</v>
      </c>
      <c r="AC47" s="10">
        <v>148.54522362</v>
      </c>
      <c r="AD47" s="10" t="s">
        <v>69</v>
      </c>
      <c r="AE47" s="10">
        <v>44.676044820000001</v>
      </c>
    </row>
    <row r="48" spans="1:31" ht="15.75" x14ac:dyDescent="0.25">
      <c r="A48" t="s">
        <v>109</v>
      </c>
      <c r="B48" s="10">
        <v>6044.7000000000007</v>
      </c>
      <c r="C48" s="10">
        <v>305.3</v>
      </c>
      <c r="D48" s="10">
        <v>6099.6</v>
      </c>
      <c r="E48" s="10">
        <v>4200.8999999999996</v>
      </c>
      <c r="F48" s="10">
        <v>270.5</v>
      </c>
      <c r="G48" s="10">
        <v>2422.8000000000002</v>
      </c>
      <c r="H48" s="10">
        <v>655.41943898</v>
      </c>
      <c r="I48" s="10">
        <v>251.77157312000003</v>
      </c>
      <c r="J48" s="10">
        <v>90.195333749999989</v>
      </c>
      <c r="K48" s="10">
        <v>593.59999999999991</v>
      </c>
      <c r="L48" s="10">
        <v>480</v>
      </c>
      <c r="M48" s="10">
        <v>0</v>
      </c>
      <c r="N48" s="10">
        <v>2508.8869178699997</v>
      </c>
      <c r="O48" s="10">
        <v>291.89999999999998</v>
      </c>
      <c r="P48" s="32" t="s">
        <v>69</v>
      </c>
      <c r="Q48" s="10">
        <v>191.66155677999998</v>
      </c>
      <c r="R48" s="10">
        <v>123.01625855</v>
      </c>
      <c r="S48" s="10">
        <v>3343.9</v>
      </c>
      <c r="T48" s="10">
        <v>1007.98314939</v>
      </c>
      <c r="U48" s="10">
        <v>25.02395623</v>
      </c>
      <c r="V48" s="10">
        <v>-1.6489056799999997</v>
      </c>
      <c r="W48" s="10">
        <v>0.82666597999999991</v>
      </c>
      <c r="X48" s="10" t="s">
        <v>69</v>
      </c>
      <c r="Y48" s="10">
        <v>150.10800617000001</v>
      </c>
      <c r="Z48" s="10">
        <v>5898</v>
      </c>
      <c r="AA48" s="10">
        <v>1295.4350879099998</v>
      </c>
      <c r="AB48" s="10">
        <v>471.56927177000006</v>
      </c>
      <c r="AC48" s="10">
        <v>149.76869026999998</v>
      </c>
      <c r="AD48" s="10" t="s">
        <v>69</v>
      </c>
      <c r="AE48" s="10">
        <v>35.561191700000009</v>
      </c>
    </row>
    <row r="49" spans="1:31" ht="15.75" x14ac:dyDescent="0.25">
      <c r="A49" t="s">
        <v>110</v>
      </c>
      <c r="B49" s="10">
        <v>6775.0000000000009</v>
      </c>
      <c r="C49" s="10">
        <v>332.9</v>
      </c>
      <c r="D49" s="10">
        <v>6195.4</v>
      </c>
      <c r="E49" s="10">
        <v>4398.8</v>
      </c>
      <c r="F49" s="10">
        <v>269.39999999999998</v>
      </c>
      <c r="G49" s="10">
        <v>2620.5</v>
      </c>
      <c r="H49" s="10">
        <v>708.40752857000007</v>
      </c>
      <c r="I49" s="10">
        <v>282.66412393000002</v>
      </c>
      <c r="J49" s="10">
        <v>106.87011878999999</v>
      </c>
      <c r="K49" s="10">
        <v>877</v>
      </c>
      <c r="L49" s="10">
        <v>565</v>
      </c>
      <c r="M49" s="10">
        <v>0</v>
      </c>
      <c r="N49" s="10">
        <v>3312.4115254599992</v>
      </c>
      <c r="O49" s="10">
        <v>306.7</v>
      </c>
      <c r="P49" s="10" t="s">
        <v>69</v>
      </c>
      <c r="Q49" s="10">
        <v>198.45840819</v>
      </c>
      <c r="R49" s="10">
        <v>137.42801183</v>
      </c>
      <c r="S49" s="10">
        <v>2850.8</v>
      </c>
      <c r="T49" s="10">
        <v>1083.1543865800002</v>
      </c>
      <c r="U49" s="10">
        <v>27.180641329999997</v>
      </c>
      <c r="V49" s="10">
        <v>-0.32164162000000007</v>
      </c>
      <c r="W49" s="10">
        <v>1.19244444</v>
      </c>
      <c r="X49" s="10" t="s">
        <v>69</v>
      </c>
      <c r="Y49" s="10">
        <v>156.57661745999997</v>
      </c>
      <c r="Z49" s="10">
        <v>5914.7000000000007</v>
      </c>
      <c r="AA49" s="10">
        <v>1241.9938590099996</v>
      </c>
      <c r="AB49" s="10">
        <v>503.66578020999998</v>
      </c>
      <c r="AC49" s="10">
        <v>152.26948515000004</v>
      </c>
      <c r="AD49" s="10" t="s">
        <v>69</v>
      </c>
      <c r="AE49" s="10">
        <v>44.725378329999984</v>
      </c>
    </row>
    <row r="50" spans="1:31" ht="15.75" x14ac:dyDescent="0.25">
      <c r="A50" t="s">
        <v>111</v>
      </c>
      <c r="B50" s="10">
        <v>6381.2999999999993</v>
      </c>
      <c r="C50" s="10">
        <v>314.7</v>
      </c>
      <c r="D50" s="10">
        <v>6763</v>
      </c>
      <c r="E50" s="10">
        <v>4438.2999999999993</v>
      </c>
      <c r="F50" s="10">
        <v>252.3</v>
      </c>
      <c r="G50" s="10">
        <v>2595.4</v>
      </c>
      <c r="H50" s="10">
        <v>702.75462159999995</v>
      </c>
      <c r="I50" s="10">
        <v>304.51784828999996</v>
      </c>
      <c r="J50" s="10">
        <v>113.13374482999998</v>
      </c>
      <c r="K50" s="10">
        <v>699.5</v>
      </c>
      <c r="L50" s="10">
        <v>525</v>
      </c>
      <c r="M50" s="10">
        <v>0</v>
      </c>
      <c r="N50" s="10">
        <v>2062.7791244300001</v>
      </c>
      <c r="O50" s="10">
        <v>180.6</v>
      </c>
      <c r="P50" s="10" t="s">
        <v>69</v>
      </c>
      <c r="Q50" s="10">
        <v>199.76452223000004</v>
      </c>
      <c r="R50" s="10">
        <v>128.31855709000001</v>
      </c>
      <c r="S50" s="10">
        <v>2869.4</v>
      </c>
      <c r="T50" s="10">
        <v>1109.7639010300002</v>
      </c>
      <c r="U50" s="10">
        <v>27.00895465</v>
      </c>
      <c r="V50" s="10">
        <v>-4.9563256699999991</v>
      </c>
      <c r="W50" s="10">
        <v>1.33913967</v>
      </c>
      <c r="X50" s="10" t="s">
        <v>69</v>
      </c>
      <c r="Y50" s="10">
        <v>164.20723279000001</v>
      </c>
      <c r="Z50" s="10">
        <v>7117.2</v>
      </c>
      <c r="AA50" s="10">
        <v>1543.4995150999998</v>
      </c>
      <c r="AB50" s="10">
        <v>622.62484863000009</v>
      </c>
      <c r="AC50" s="10">
        <v>154.17724630999999</v>
      </c>
      <c r="AD50" s="10" t="s">
        <v>69</v>
      </c>
      <c r="AE50" s="10">
        <v>192.38961869000002</v>
      </c>
    </row>
    <row r="51" spans="1:31" ht="15.75" x14ac:dyDescent="0.25">
      <c r="A51" t="s">
        <v>112</v>
      </c>
      <c r="B51" s="10">
        <v>9741.5052527500011</v>
      </c>
      <c r="C51" s="10">
        <v>338.19177525999999</v>
      </c>
      <c r="D51" s="10">
        <v>7036.9407196599996</v>
      </c>
      <c r="E51" s="10">
        <v>4865.4831143699994</v>
      </c>
      <c r="F51" s="10">
        <v>266.38251005000001</v>
      </c>
      <c r="G51" s="10">
        <v>2876.4170410500001</v>
      </c>
      <c r="H51" s="10">
        <v>647.49674311000001</v>
      </c>
      <c r="I51" s="10">
        <v>357.88522720000003</v>
      </c>
      <c r="J51" s="10">
        <v>86.345904089999991</v>
      </c>
      <c r="K51" s="10">
        <v>749.05881791000002</v>
      </c>
      <c r="L51" s="10">
        <v>480</v>
      </c>
      <c r="M51" s="10">
        <v>0</v>
      </c>
      <c r="N51" s="10">
        <v>2864.3550379799999</v>
      </c>
      <c r="O51" s="10">
        <v>1195.1694353299999</v>
      </c>
      <c r="P51" s="10" t="s">
        <v>69</v>
      </c>
      <c r="Q51" s="10">
        <v>210.08024487</v>
      </c>
      <c r="R51" s="10">
        <v>131.30005690000002</v>
      </c>
      <c r="S51" s="10">
        <v>3448.42274903</v>
      </c>
      <c r="T51" s="10">
        <v>1173.1174282500001</v>
      </c>
      <c r="U51" s="10">
        <v>28.710190600000001</v>
      </c>
      <c r="V51" s="10">
        <v>0.2090273</v>
      </c>
      <c r="W51" s="10">
        <v>0.77626536999999995</v>
      </c>
      <c r="X51" s="10" t="s">
        <v>69</v>
      </c>
      <c r="Y51" s="10">
        <v>166.64812889000001</v>
      </c>
      <c r="Z51" s="10">
        <v>6822.5</v>
      </c>
      <c r="AA51" s="10">
        <v>1409.5594576099998</v>
      </c>
      <c r="AB51" s="10">
        <v>606.74637372999996</v>
      </c>
      <c r="AC51" s="10">
        <v>161.25345552999997</v>
      </c>
      <c r="AD51" s="10" t="s">
        <v>69</v>
      </c>
      <c r="AE51" s="10">
        <v>120.93826347000007</v>
      </c>
    </row>
    <row r="52" spans="1:31" ht="15.75" x14ac:dyDescent="0.25">
      <c r="A52" t="s">
        <v>113</v>
      </c>
      <c r="B52" s="10">
        <v>7647.6982189399987</v>
      </c>
      <c r="C52" s="10">
        <v>400.27441090000002</v>
      </c>
      <c r="D52" s="10">
        <v>7527.6377106999998</v>
      </c>
      <c r="E52" s="10">
        <v>5431.94259263</v>
      </c>
      <c r="F52" s="10">
        <v>274.59990922999998</v>
      </c>
      <c r="G52" s="10">
        <v>2929.3389942999997</v>
      </c>
      <c r="H52" s="10">
        <v>646.55289286999994</v>
      </c>
      <c r="I52" s="10">
        <v>348.63629772000002</v>
      </c>
      <c r="J52" s="10">
        <v>95.533959259999989</v>
      </c>
      <c r="K52" s="10">
        <v>819.14815992000001</v>
      </c>
      <c r="L52" s="10">
        <v>480</v>
      </c>
      <c r="M52" s="10">
        <v>0</v>
      </c>
      <c r="N52" s="10">
        <v>2821.2370593599999</v>
      </c>
      <c r="O52" s="10">
        <v>349.80075986000003</v>
      </c>
      <c r="P52" s="10" t="s">
        <v>69</v>
      </c>
      <c r="Q52" s="10">
        <v>221.80488787999997</v>
      </c>
      <c r="R52" s="10">
        <v>147.04650784</v>
      </c>
      <c r="S52" s="10">
        <v>4234.3477573399996</v>
      </c>
      <c r="T52" s="10">
        <v>1326.9941908399999</v>
      </c>
      <c r="U52" s="10">
        <v>31.467214480000003</v>
      </c>
      <c r="V52" s="10">
        <v>-1.3602997800000001</v>
      </c>
      <c r="W52" s="10">
        <v>0.9500352299999999</v>
      </c>
      <c r="X52" s="10" t="s">
        <v>69</v>
      </c>
      <c r="Y52" s="10">
        <v>211.26774320999996</v>
      </c>
      <c r="Z52" s="10">
        <v>8251</v>
      </c>
      <c r="AA52" s="10">
        <v>1726.5569588199996</v>
      </c>
      <c r="AB52" s="10">
        <v>728.82439318000002</v>
      </c>
      <c r="AC52" s="10">
        <v>169.62747363999998</v>
      </c>
      <c r="AD52" s="10" t="s">
        <v>69</v>
      </c>
      <c r="AE52" s="10">
        <v>43.55173197000007</v>
      </c>
    </row>
    <row r="53" spans="1:31" ht="15.75" x14ac:dyDescent="0.25">
      <c r="A53" t="s">
        <v>114</v>
      </c>
      <c r="B53" s="10">
        <v>8356.3675275400001</v>
      </c>
      <c r="C53" s="10">
        <v>435.03371128000003</v>
      </c>
      <c r="D53" s="10">
        <v>8747.45347253</v>
      </c>
      <c r="E53" s="10">
        <v>5556.6063748500001</v>
      </c>
      <c r="F53" s="10">
        <v>290.72573382000002</v>
      </c>
      <c r="G53" s="10">
        <v>3284.5843586199999</v>
      </c>
      <c r="H53" s="10">
        <v>720.53159003000007</v>
      </c>
      <c r="I53" s="10">
        <v>371.99914243000001</v>
      </c>
      <c r="J53" s="10">
        <v>103.22991791000001</v>
      </c>
      <c r="K53" s="10">
        <v>995.50010625999994</v>
      </c>
      <c r="L53" s="10">
        <v>480</v>
      </c>
      <c r="M53" s="10">
        <v>0</v>
      </c>
      <c r="N53" s="10">
        <v>3345.0872848399995</v>
      </c>
      <c r="O53" s="10">
        <v>351.18147822999998</v>
      </c>
      <c r="P53" s="10" t="s">
        <v>69</v>
      </c>
      <c r="Q53" s="10">
        <v>237.09606354000002</v>
      </c>
      <c r="R53" s="10">
        <v>173.99544465999998</v>
      </c>
      <c r="S53" s="10">
        <v>4159.5082804399999</v>
      </c>
      <c r="T53" s="10">
        <v>1408.68978242</v>
      </c>
      <c r="U53" s="10">
        <v>33.245071340000003</v>
      </c>
      <c r="V53" s="10">
        <v>-3.6968677699999999</v>
      </c>
      <c r="W53" s="10">
        <v>1.4636054499999998</v>
      </c>
      <c r="X53" s="10" t="s">
        <v>69</v>
      </c>
      <c r="Y53" s="10">
        <v>279.60008070999999</v>
      </c>
      <c r="Z53" s="10">
        <v>8186.1</v>
      </c>
      <c r="AA53" s="10">
        <v>1634.5250869100003</v>
      </c>
      <c r="AB53" s="10">
        <v>688.92079614999989</v>
      </c>
      <c r="AC53" s="10">
        <v>176.44306456999999</v>
      </c>
      <c r="AD53" s="10" t="s">
        <v>69</v>
      </c>
      <c r="AE53" s="10">
        <v>172.22039036999993</v>
      </c>
    </row>
    <row r="54" spans="1:31" ht="15.75" x14ac:dyDescent="0.25">
      <c r="A54" t="s">
        <v>115</v>
      </c>
      <c r="B54" s="10">
        <v>7792.9579904499988</v>
      </c>
      <c r="C54" s="10">
        <v>433.64788612000001</v>
      </c>
      <c r="D54" s="10">
        <v>9027.2666099599992</v>
      </c>
      <c r="E54" s="10">
        <v>5569.5625015900005</v>
      </c>
      <c r="F54" s="10">
        <v>277.63579565000003</v>
      </c>
      <c r="G54" s="10">
        <v>3214.5152577399999</v>
      </c>
      <c r="H54" s="10">
        <v>726.79503150999994</v>
      </c>
      <c r="I54" s="10">
        <v>407.32500131999996</v>
      </c>
      <c r="J54" s="10">
        <v>111.73870582000001</v>
      </c>
      <c r="K54" s="10">
        <v>1199.80435773</v>
      </c>
      <c r="L54" s="10">
        <v>520</v>
      </c>
      <c r="M54" s="10" t="s">
        <v>69</v>
      </c>
      <c r="N54" s="10">
        <v>2347.7643228300003</v>
      </c>
      <c r="O54" s="10">
        <v>227.83617767999999</v>
      </c>
      <c r="P54" s="10" t="s">
        <v>69</v>
      </c>
      <c r="Q54" s="10">
        <v>245.61569309999999</v>
      </c>
      <c r="R54" s="10">
        <v>195.08831612999998</v>
      </c>
      <c r="S54" s="10">
        <v>3767.9334887699997</v>
      </c>
      <c r="T54" s="10">
        <v>1451.6147870699999</v>
      </c>
      <c r="U54" s="10">
        <v>33.814110049999996</v>
      </c>
      <c r="V54" s="10">
        <v>2.58185705</v>
      </c>
      <c r="W54" s="10">
        <v>1.3541518699999999</v>
      </c>
      <c r="X54" s="10" t="s">
        <v>69</v>
      </c>
      <c r="Y54" s="10">
        <v>268.75612769999998</v>
      </c>
      <c r="Z54" s="10">
        <v>10385</v>
      </c>
      <c r="AA54" s="10">
        <v>2002.4967336699997</v>
      </c>
      <c r="AB54" s="10">
        <v>841.52386984999998</v>
      </c>
      <c r="AC54" s="10">
        <v>179.70921215000001</v>
      </c>
      <c r="AD54" s="10" t="s">
        <v>69</v>
      </c>
      <c r="AE54" s="10">
        <v>9.7498561999999822</v>
      </c>
    </row>
    <row r="55" spans="1:31" ht="15.75" x14ac:dyDescent="0.25">
      <c r="A55" t="s">
        <v>116</v>
      </c>
      <c r="B55" s="10">
        <v>12452.484779500002</v>
      </c>
      <c r="C55" s="10">
        <v>454.42182101000003</v>
      </c>
      <c r="D55" s="10">
        <v>9322.0359396399999</v>
      </c>
      <c r="E55" s="10">
        <v>6004.7788877200001</v>
      </c>
      <c r="F55" s="10">
        <v>343.29116089999997</v>
      </c>
      <c r="G55" s="10">
        <v>3654.2909216799999</v>
      </c>
      <c r="H55" s="10">
        <v>738.50970561000008</v>
      </c>
      <c r="I55" s="10">
        <v>378.04620672999999</v>
      </c>
      <c r="J55" s="10">
        <v>106.94641229999999</v>
      </c>
      <c r="K55" s="10">
        <v>849.96641024999997</v>
      </c>
      <c r="L55" s="10">
        <v>360</v>
      </c>
      <c r="M55" s="10" t="s">
        <v>69</v>
      </c>
      <c r="N55" s="10">
        <v>2975.5504370099998</v>
      </c>
      <c r="O55" s="10">
        <v>1425.31453306</v>
      </c>
      <c r="P55" s="10" t="s">
        <v>69</v>
      </c>
      <c r="Q55" s="10">
        <v>256.81747137999997</v>
      </c>
      <c r="R55" s="10">
        <v>209.95457359</v>
      </c>
      <c r="S55" s="10">
        <v>4767.3599724899996</v>
      </c>
      <c r="T55" s="10">
        <v>1508.65135644</v>
      </c>
      <c r="U55" s="10">
        <v>34.873522949999995</v>
      </c>
      <c r="V55" s="10">
        <v>0.19499478000000003</v>
      </c>
      <c r="W55" s="10">
        <v>1.1630256499999998</v>
      </c>
      <c r="X55" s="10" t="s">
        <v>69</v>
      </c>
      <c r="Y55" s="10">
        <v>297.7014671</v>
      </c>
      <c r="Z55" s="10">
        <v>9897.7000000000007</v>
      </c>
      <c r="AA55" s="10">
        <v>1875.7393189899999</v>
      </c>
      <c r="AB55" s="10">
        <v>795.86781240000005</v>
      </c>
      <c r="AC55" s="10">
        <v>181.92710422999997</v>
      </c>
      <c r="AD55" s="10" t="s">
        <v>69</v>
      </c>
      <c r="AE55" s="10">
        <v>99.716809150000032</v>
      </c>
    </row>
    <row r="56" spans="1:31" ht="15.75" x14ac:dyDescent="0.25">
      <c r="A56" t="s">
        <v>117</v>
      </c>
      <c r="B56" s="10">
        <v>10101.619623709999</v>
      </c>
      <c r="C56" s="10">
        <v>659.32456982999997</v>
      </c>
      <c r="D56" s="10">
        <v>9882.0158872399988</v>
      </c>
      <c r="E56" s="10">
        <v>7691.9912389900001</v>
      </c>
      <c r="F56" s="10">
        <v>325.31924169000001</v>
      </c>
      <c r="G56" s="10">
        <v>3966.5615455699999</v>
      </c>
      <c r="H56" s="10">
        <v>738.61023023000007</v>
      </c>
      <c r="I56" s="10">
        <v>422.29757847000008</v>
      </c>
      <c r="J56" s="10">
        <v>108.84348592000001</v>
      </c>
      <c r="K56" s="10">
        <v>839.97647608</v>
      </c>
      <c r="L56" s="10">
        <v>367.5</v>
      </c>
      <c r="M56" s="10" t="s">
        <v>69</v>
      </c>
      <c r="N56" s="10">
        <v>3424.7124739199999</v>
      </c>
      <c r="O56" s="10">
        <v>409.74862293000001</v>
      </c>
      <c r="P56" s="10" t="s">
        <v>69</v>
      </c>
      <c r="Q56" s="10">
        <v>271.77389267000001</v>
      </c>
      <c r="R56" s="10">
        <v>234.60478503999997</v>
      </c>
      <c r="S56" s="10">
        <v>4969.6588550400002</v>
      </c>
      <c r="T56" s="10">
        <v>1827.1984944900003</v>
      </c>
      <c r="U56" s="10">
        <v>41.16566010999999</v>
      </c>
      <c r="V56" s="10">
        <v>0.20243307999999993</v>
      </c>
      <c r="W56" s="10">
        <v>3.4178495000000004</v>
      </c>
      <c r="X56" s="10" t="s">
        <v>69</v>
      </c>
      <c r="Y56" s="10">
        <v>365.74025730999995</v>
      </c>
      <c r="Z56" s="10">
        <v>11850.6</v>
      </c>
      <c r="AA56" s="10">
        <v>2302.5048632199996</v>
      </c>
      <c r="AB56" s="10">
        <v>962.97796006999988</v>
      </c>
      <c r="AC56" s="10">
        <v>190.65179900000001</v>
      </c>
      <c r="AD56" s="10" t="s">
        <v>69</v>
      </c>
      <c r="AE56" s="10">
        <v>8.7499355600000577</v>
      </c>
    </row>
    <row r="57" spans="1:31" ht="15.75" x14ac:dyDescent="0.25">
      <c r="A57" t="s">
        <v>118</v>
      </c>
      <c r="B57" s="10">
        <v>10240.985130969999</v>
      </c>
      <c r="C57" s="10">
        <v>719.44842036</v>
      </c>
      <c r="D57" s="10">
        <v>11028.88118583</v>
      </c>
      <c r="E57" s="10">
        <v>8132.4497483199993</v>
      </c>
      <c r="F57" s="10">
        <v>352.71468255000002</v>
      </c>
      <c r="G57" s="10">
        <v>4229.5728092900008</v>
      </c>
      <c r="H57" s="10">
        <v>817.41030291999982</v>
      </c>
      <c r="I57" s="10">
        <v>509.76240390999999</v>
      </c>
      <c r="J57" s="10">
        <v>119.54661593</v>
      </c>
      <c r="K57" s="10">
        <v>1099.98424458</v>
      </c>
      <c r="L57" s="10">
        <v>665</v>
      </c>
      <c r="M57" s="10" t="s">
        <v>69</v>
      </c>
      <c r="N57" s="10">
        <v>3645.5614692699996</v>
      </c>
      <c r="O57" s="10">
        <v>428.98284735000004</v>
      </c>
      <c r="P57" s="10" t="s">
        <v>69</v>
      </c>
      <c r="Q57" s="10">
        <v>289.12059173</v>
      </c>
      <c r="R57" s="10">
        <v>237.80688170999997</v>
      </c>
      <c r="S57" s="10">
        <v>6944.7892522500006</v>
      </c>
      <c r="T57" s="10">
        <v>2071.7448244100001</v>
      </c>
      <c r="U57" s="10">
        <v>46.228782659999993</v>
      </c>
      <c r="V57" s="10">
        <v>0.1640721</v>
      </c>
      <c r="W57" s="10">
        <v>2.8205337000000004</v>
      </c>
      <c r="X57" s="10" t="s">
        <v>69</v>
      </c>
      <c r="Y57" s="10">
        <v>387.03969069999999</v>
      </c>
      <c r="Z57" s="10">
        <v>11439.2</v>
      </c>
      <c r="AA57" s="10">
        <v>2085.50658664</v>
      </c>
      <c r="AB57" s="10">
        <v>898.10451476999992</v>
      </c>
      <c r="AC57" s="10">
        <v>197.94081693999996</v>
      </c>
      <c r="AD57" s="10" t="s">
        <v>69</v>
      </c>
      <c r="AE57" s="10">
        <v>-80.700912620000054</v>
      </c>
    </row>
    <row r="58" spans="1:31" ht="15.75" x14ac:dyDescent="0.25">
      <c r="A58" t="s">
        <v>119</v>
      </c>
      <c r="B58" s="10">
        <v>10146.273159279999</v>
      </c>
      <c r="C58" s="10">
        <v>646.58192357999997</v>
      </c>
      <c r="D58" s="10">
        <v>11871.494311030001</v>
      </c>
      <c r="E58" s="10">
        <v>7803.8581939300002</v>
      </c>
      <c r="F58" s="10">
        <v>296.84121264999999</v>
      </c>
      <c r="G58" s="10">
        <v>4359.0030228300002</v>
      </c>
      <c r="H58" s="10">
        <v>887.31907816</v>
      </c>
      <c r="I58" s="10">
        <v>471.24715416000004</v>
      </c>
      <c r="J58" s="10">
        <v>131.31558253999998</v>
      </c>
      <c r="K58" s="10">
        <v>1275.1052435399999</v>
      </c>
      <c r="L58" s="10">
        <v>875</v>
      </c>
      <c r="M58" s="10" t="s">
        <v>69</v>
      </c>
      <c r="N58" s="10">
        <v>3567.57454181</v>
      </c>
      <c r="O58" s="10">
        <v>259.06788983000001</v>
      </c>
      <c r="P58" s="10" t="s">
        <v>69</v>
      </c>
      <c r="Q58" s="10">
        <v>302.13389728999994</v>
      </c>
      <c r="R58" s="10">
        <v>226.74145733999995</v>
      </c>
      <c r="S58" s="10">
        <v>7940.4696902199994</v>
      </c>
      <c r="T58" s="10">
        <v>2028.6607577499999</v>
      </c>
      <c r="U58" s="10">
        <v>43.032807500000004</v>
      </c>
      <c r="V58" s="10">
        <v>4.563478E-2</v>
      </c>
      <c r="W58" s="10">
        <v>3.4436110699999998</v>
      </c>
      <c r="X58" s="10" t="s">
        <v>69</v>
      </c>
      <c r="Y58" s="10">
        <v>368.94737247000006</v>
      </c>
      <c r="Z58" s="10">
        <v>14102.8</v>
      </c>
      <c r="AA58" s="10">
        <v>2602.1129067600004</v>
      </c>
      <c r="AB58" s="10">
        <v>1085.6952307699999</v>
      </c>
      <c r="AC58" s="10">
        <v>206.52197060000003</v>
      </c>
      <c r="AD58" s="10" t="s">
        <v>69</v>
      </c>
      <c r="AE58" s="10">
        <v>178.95711709999995</v>
      </c>
    </row>
    <row r="59" spans="1:31" ht="15.75" x14ac:dyDescent="0.25">
      <c r="A59" t="s">
        <v>120</v>
      </c>
      <c r="B59" s="10">
        <v>14227.18448505</v>
      </c>
      <c r="C59" s="10">
        <v>744.43681538999999</v>
      </c>
      <c r="D59" s="10">
        <v>12258.72283556</v>
      </c>
      <c r="E59" s="10">
        <v>9338.4273191899993</v>
      </c>
      <c r="F59" s="10">
        <v>339.94580416000002</v>
      </c>
      <c r="G59" s="10">
        <v>4818.6891681799998</v>
      </c>
      <c r="H59" s="10">
        <v>873.26301360000002</v>
      </c>
      <c r="I59" s="10">
        <v>499.38274565999996</v>
      </c>
      <c r="J59" s="10">
        <v>128.38122059</v>
      </c>
      <c r="K59" s="10">
        <v>1675</v>
      </c>
      <c r="L59" s="10">
        <v>490</v>
      </c>
      <c r="M59" s="10" t="s">
        <v>69</v>
      </c>
      <c r="N59" s="10">
        <v>3935.2957620800003</v>
      </c>
      <c r="O59" s="10">
        <v>1771.49720931</v>
      </c>
      <c r="P59" s="10" t="s">
        <v>69</v>
      </c>
      <c r="Q59" s="10">
        <v>334.12027715999994</v>
      </c>
      <c r="R59" s="10">
        <v>261.29990959999998</v>
      </c>
      <c r="S59" s="10">
        <v>8514.7677291300006</v>
      </c>
      <c r="T59" s="10">
        <v>2191.2814933699997</v>
      </c>
      <c r="U59" s="10">
        <v>46.174474329999995</v>
      </c>
      <c r="V59" s="10">
        <v>3.2375300000000003E-2</v>
      </c>
      <c r="W59" s="10">
        <v>1.2592039899999998</v>
      </c>
      <c r="X59" s="10" t="s">
        <v>69</v>
      </c>
      <c r="Y59" s="10">
        <v>420.64732055000002</v>
      </c>
      <c r="Z59" s="10">
        <v>14498.6</v>
      </c>
      <c r="AA59" s="10">
        <v>2456.5158626300004</v>
      </c>
      <c r="AB59" s="10">
        <v>1069.30698106</v>
      </c>
      <c r="AC59" s="10">
        <v>258.81442019999997</v>
      </c>
      <c r="AD59" s="10" t="s">
        <v>69</v>
      </c>
      <c r="AE59" s="10">
        <v>-9.3394487200004761</v>
      </c>
    </row>
    <row r="60" spans="1:31" ht="15.75" x14ac:dyDescent="0.25">
      <c r="A60" t="s">
        <v>121</v>
      </c>
      <c r="B60" s="10">
        <v>13264.13422308</v>
      </c>
      <c r="C60" s="10">
        <v>934.58330286</v>
      </c>
      <c r="D60" s="10">
        <v>12692.13169106</v>
      </c>
      <c r="E60" s="10">
        <v>10029.026599889999</v>
      </c>
      <c r="F60" s="10">
        <v>176.59721038999999</v>
      </c>
      <c r="G60" s="10">
        <v>5162.4239535300003</v>
      </c>
      <c r="H60" s="10">
        <v>875.08116044999997</v>
      </c>
      <c r="I60" s="10">
        <v>485.70585346000007</v>
      </c>
      <c r="J60" s="10">
        <v>145.27571666</v>
      </c>
      <c r="K60" s="10">
        <v>1471</v>
      </c>
      <c r="L60" s="10">
        <v>829</v>
      </c>
      <c r="M60" s="10" t="s">
        <v>69</v>
      </c>
      <c r="N60" s="10">
        <v>3809.6669499400004</v>
      </c>
      <c r="O60" s="10">
        <v>701.3621962200001</v>
      </c>
      <c r="P60" s="10" t="s">
        <v>69</v>
      </c>
      <c r="Q60" s="10">
        <v>351.67018372999996</v>
      </c>
      <c r="R60" s="10">
        <v>264.99390755000002</v>
      </c>
      <c r="S60" s="10">
        <v>11405.67279604</v>
      </c>
      <c r="T60" s="10">
        <v>2308.3080372399995</v>
      </c>
      <c r="U60" s="10">
        <v>47.314488060000002</v>
      </c>
      <c r="V60" s="10">
        <v>-0.47625529999999999</v>
      </c>
      <c r="W60" s="10">
        <v>1.4589453800000001</v>
      </c>
      <c r="X60" s="10" t="s">
        <v>69</v>
      </c>
      <c r="Y60" s="10">
        <v>464.41535195999995</v>
      </c>
      <c r="Z60" s="10">
        <v>17177.900000000001</v>
      </c>
      <c r="AA60" s="10">
        <v>3084.99764555</v>
      </c>
      <c r="AB60" s="10">
        <v>1302.9458413499999</v>
      </c>
      <c r="AC60" s="10">
        <v>273.52650681999995</v>
      </c>
      <c r="AD60" s="10" t="s">
        <v>69</v>
      </c>
      <c r="AE60" s="10">
        <v>58.923675749999077</v>
      </c>
    </row>
    <row r="61" spans="1:31" ht="15.75" x14ac:dyDescent="0.25">
      <c r="A61" t="s">
        <v>122</v>
      </c>
      <c r="B61" s="10">
        <v>12819.295649969999</v>
      </c>
      <c r="C61" s="10">
        <v>863.5407789300001</v>
      </c>
      <c r="D61" s="10">
        <v>13570.57582885</v>
      </c>
      <c r="E61" s="10">
        <v>8550.6868778800017</v>
      </c>
      <c r="F61" s="10">
        <v>174.37521731999999</v>
      </c>
      <c r="G61" s="10">
        <v>5155.0355055799992</v>
      </c>
      <c r="H61" s="10">
        <v>1005.60368184</v>
      </c>
      <c r="I61" s="10">
        <v>532.94894944000009</v>
      </c>
      <c r="J61" s="10">
        <v>150.12565608999998</v>
      </c>
      <c r="K61" s="10">
        <v>1465</v>
      </c>
      <c r="L61" s="10">
        <v>700</v>
      </c>
      <c r="M61" s="10" t="s">
        <v>69</v>
      </c>
      <c r="N61" s="10">
        <v>4465.4610842599996</v>
      </c>
      <c r="O61" s="10">
        <v>643.04409204000012</v>
      </c>
      <c r="P61" s="10" t="s">
        <v>69</v>
      </c>
      <c r="Q61" s="10">
        <v>366.78476404999998</v>
      </c>
      <c r="R61" s="10">
        <v>250.1190641</v>
      </c>
      <c r="S61" s="10">
        <v>8194.3379651600007</v>
      </c>
      <c r="T61" s="10">
        <v>2275.0207254200004</v>
      </c>
      <c r="U61" s="10">
        <v>48.114750480000005</v>
      </c>
      <c r="V61" s="10">
        <v>-1.12583481</v>
      </c>
      <c r="W61" s="10">
        <v>1.68140384</v>
      </c>
      <c r="X61" s="10" t="s">
        <v>69</v>
      </c>
      <c r="Y61" s="10">
        <v>439.91251075000002</v>
      </c>
      <c r="Z61" s="10">
        <v>16466.3</v>
      </c>
      <c r="AA61" s="10">
        <v>2923.0502936700004</v>
      </c>
      <c r="AB61" s="10">
        <v>1220.6491523499999</v>
      </c>
      <c r="AC61" s="10">
        <v>275.55358634999999</v>
      </c>
      <c r="AD61" s="10" t="s">
        <v>69</v>
      </c>
      <c r="AE61" s="10">
        <v>7.8351512700000301</v>
      </c>
    </row>
    <row r="62" spans="1:31" ht="15.75" x14ac:dyDescent="0.25">
      <c r="A62" t="s">
        <v>123</v>
      </c>
      <c r="B62" s="10">
        <v>10563.46307276</v>
      </c>
      <c r="C62" s="10">
        <v>515.80357260000005</v>
      </c>
      <c r="D62" s="10">
        <v>14785.172464609999</v>
      </c>
      <c r="E62" s="10">
        <v>6144.2137398100003</v>
      </c>
      <c r="F62" s="10">
        <v>390.55033606000006</v>
      </c>
      <c r="G62" s="10">
        <v>4645.48344026</v>
      </c>
      <c r="H62" s="10">
        <v>1048.03321426</v>
      </c>
      <c r="I62" s="10">
        <v>570.77527148999991</v>
      </c>
      <c r="J62" s="10">
        <v>156.56687503999999</v>
      </c>
      <c r="K62" s="10">
        <v>785</v>
      </c>
      <c r="L62" s="10">
        <v>100</v>
      </c>
      <c r="M62" s="10" t="s">
        <v>69</v>
      </c>
      <c r="N62" s="10">
        <v>3721.8351518099998</v>
      </c>
      <c r="O62" s="10">
        <v>389.55071840000005</v>
      </c>
      <c r="P62" s="10" t="s">
        <v>69</v>
      </c>
      <c r="Q62" s="10">
        <v>360.48419462000004</v>
      </c>
      <c r="R62" s="10">
        <v>230.3547198</v>
      </c>
      <c r="S62" s="10">
        <v>6890.8267822400003</v>
      </c>
      <c r="T62" s="10">
        <v>1656.3335587299998</v>
      </c>
      <c r="U62" s="10">
        <v>36.599017060000008</v>
      </c>
      <c r="V62" s="10">
        <v>1.6672869999999999E-2</v>
      </c>
      <c r="W62" s="10">
        <v>1.3912005600000001</v>
      </c>
      <c r="X62" s="10">
        <v>281.15879939999996</v>
      </c>
      <c r="Y62" s="10">
        <v>29.003954490000066</v>
      </c>
      <c r="Z62" s="10">
        <v>18694</v>
      </c>
      <c r="AA62" s="10">
        <v>3745.0553971199993</v>
      </c>
      <c r="AB62" s="10">
        <v>1427.6875800099999</v>
      </c>
      <c r="AC62" s="10">
        <v>295.71165761000003</v>
      </c>
      <c r="AD62" s="10" t="s">
        <v>69</v>
      </c>
      <c r="AE62" s="10">
        <v>204.15552080999973</v>
      </c>
    </row>
    <row r="63" spans="1:31" ht="15.75" x14ac:dyDescent="0.25">
      <c r="A63" t="s">
        <v>124</v>
      </c>
      <c r="B63" s="10">
        <v>15355.642825049999</v>
      </c>
      <c r="C63" s="10">
        <v>550.77004531000011</v>
      </c>
      <c r="D63" s="10">
        <v>14930.742669200001</v>
      </c>
      <c r="E63" s="10">
        <v>6958.5116038999995</v>
      </c>
      <c r="F63" s="10">
        <v>375.20515282000008</v>
      </c>
      <c r="G63" s="10">
        <v>5093.3184624400001</v>
      </c>
      <c r="H63" s="10">
        <v>1028.80852867</v>
      </c>
      <c r="I63" s="10">
        <v>502.79674117000002</v>
      </c>
      <c r="J63" s="10">
        <v>158.49334149000001</v>
      </c>
      <c r="K63" s="10">
        <v>973</v>
      </c>
      <c r="L63" s="10">
        <v>327</v>
      </c>
      <c r="M63" s="10" t="s">
        <v>69</v>
      </c>
      <c r="N63" s="10">
        <v>4311.3170281400007</v>
      </c>
      <c r="O63" s="10">
        <v>1872.9832809900001</v>
      </c>
      <c r="P63" s="10" t="s">
        <v>69</v>
      </c>
      <c r="Q63" s="10">
        <v>382.20058764999999</v>
      </c>
      <c r="R63" s="10">
        <v>254.08122090000001</v>
      </c>
      <c r="S63" s="10">
        <v>9051.6786450000018</v>
      </c>
      <c r="T63" s="10">
        <v>1742.3031568599999</v>
      </c>
      <c r="U63" s="10">
        <v>39.130279530000003</v>
      </c>
      <c r="V63" s="10">
        <v>1.0293879999999998E-2</v>
      </c>
      <c r="W63" s="10">
        <v>1.2549563899999998</v>
      </c>
      <c r="X63" s="10">
        <v>300.90124061</v>
      </c>
      <c r="Y63" s="10">
        <v>29.847634020000001</v>
      </c>
      <c r="Z63" s="10">
        <v>17340.099999999999</v>
      </c>
      <c r="AA63" s="10">
        <v>3470.2108671699998</v>
      </c>
      <c r="AB63" s="10">
        <v>1300.82688874</v>
      </c>
      <c r="AC63" s="10">
        <v>317.61419586</v>
      </c>
      <c r="AD63" s="10" t="s">
        <v>69</v>
      </c>
      <c r="AE63" s="10">
        <v>353.18496522999988</v>
      </c>
    </row>
    <row r="64" spans="1:31" ht="15.75" x14ac:dyDescent="0.25">
      <c r="A64" t="s">
        <v>125</v>
      </c>
      <c r="B64" s="10">
        <v>12701.68167043</v>
      </c>
      <c r="C64" s="10">
        <v>653.85868243000004</v>
      </c>
      <c r="D64" s="10">
        <v>15784.50736843</v>
      </c>
      <c r="E64" s="10">
        <v>8354.9710991399988</v>
      </c>
      <c r="F64" s="10">
        <v>208.37747467</v>
      </c>
      <c r="G64" s="10">
        <v>5273.82663813</v>
      </c>
      <c r="H64" s="10">
        <v>1069.2043363</v>
      </c>
      <c r="I64" s="10">
        <v>581.5383936799999</v>
      </c>
      <c r="J64" s="10">
        <v>161.76587709</v>
      </c>
      <c r="K64" s="10">
        <v>900</v>
      </c>
      <c r="L64" s="10">
        <v>904</v>
      </c>
      <c r="M64" s="10" t="s">
        <v>69</v>
      </c>
      <c r="N64" s="10">
        <v>4392.68471374</v>
      </c>
      <c r="O64" s="10">
        <v>832.16067958999997</v>
      </c>
      <c r="P64" s="10" t="s">
        <v>69</v>
      </c>
      <c r="Q64" s="10">
        <v>394.26949205999995</v>
      </c>
      <c r="R64" s="10">
        <v>412.05621925999998</v>
      </c>
      <c r="S64" s="10">
        <v>7304.4291071900007</v>
      </c>
      <c r="T64" s="10">
        <v>1986.7885092200002</v>
      </c>
      <c r="U64" s="10">
        <v>47.351840029999991</v>
      </c>
      <c r="V64" s="10">
        <v>3.862252E-2</v>
      </c>
      <c r="W64" s="10">
        <v>1.32610721</v>
      </c>
      <c r="X64" s="10">
        <v>362.18021841000001</v>
      </c>
      <c r="Y64" s="10">
        <v>31.240321280000003</v>
      </c>
      <c r="Z64" s="10">
        <v>20741.400000000001</v>
      </c>
      <c r="AA64" s="10">
        <v>4152.0103783200002</v>
      </c>
      <c r="AB64" s="10">
        <v>1512.6121422099998</v>
      </c>
      <c r="AC64" s="10">
        <v>331.93735848000006</v>
      </c>
      <c r="AD64" s="10" t="s">
        <v>69</v>
      </c>
      <c r="AE64" s="10">
        <v>1044.6928343899999</v>
      </c>
    </row>
    <row r="65" spans="1:31" ht="15.75" x14ac:dyDescent="0.25">
      <c r="A65" t="s">
        <v>126</v>
      </c>
      <c r="B65" s="10">
        <v>14557.331916500001</v>
      </c>
      <c r="C65" s="10">
        <v>653.78963176000002</v>
      </c>
      <c r="D65" s="10">
        <v>15893.294063410001</v>
      </c>
      <c r="E65" s="10">
        <v>8265.3840113000006</v>
      </c>
      <c r="F65" s="10">
        <v>238.59497069</v>
      </c>
      <c r="G65" s="10">
        <v>5548.8582807700004</v>
      </c>
      <c r="H65" s="10">
        <v>1177.2685459099998</v>
      </c>
      <c r="I65" s="10">
        <v>758.80812685000001</v>
      </c>
      <c r="J65" s="10">
        <v>181.55887513999997</v>
      </c>
      <c r="K65" s="10">
        <v>1073</v>
      </c>
      <c r="L65" s="10">
        <v>1120</v>
      </c>
      <c r="M65" s="10" t="s">
        <v>69</v>
      </c>
      <c r="N65" s="10">
        <v>6207.0933080399991</v>
      </c>
      <c r="O65" s="10">
        <v>946.41108986000006</v>
      </c>
      <c r="P65" s="10" t="s">
        <v>69</v>
      </c>
      <c r="Q65" s="10">
        <v>412.89048754000004</v>
      </c>
      <c r="R65" s="10">
        <v>932.35096942999974</v>
      </c>
      <c r="S65" s="10">
        <v>8794.5952552800009</v>
      </c>
      <c r="T65" s="10">
        <v>2140.2120982900001</v>
      </c>
      <c r="U65" s="10">
        <v>51.069769790000002</v>
      </c>
      <c r="V65" s="10">
        <v>1.4870040000000001E-2</v>
      </c>
      <c r="W65" s="10">
        <v>1.4869538100000004</v>
      </c>
      <c r="X65" s="10">
        <v>391.12739684999997</v>
      </c>
      <c r="Y65" s="10">
        <v>28.235574620000001</v>
      </c>
      <c r="Z65" s="10">
        <v>19501.8</v>
      </c>
      <c r="AA65" s="10">
        <v>3825.9285737600012</v>
      </c>
      <c r="AB65" s="10">
        <v>1416.6439137499999</v>
      </c>
      <c r="AC65" s="10">
        <v>340.59239943</v>
      </c>
      <c r="AD65" s="10" t="s">
        <v>69</v>
      </c>
      <c r="AE65" s="10">
        <v>-701.03649695000024</v>
      </c>
    </row>
    <row r="66" spans="1:31" ht="15.75" x14ac:dyDescent="0.25">
      <c r="A66" t="s">
        <v>127</v>
      </c>
      <c r="B66" s="10">
        <v>13326.97566529</v>
      </c>
      <c r="C66" s="10">
        <v>637.72335229999999</v>
      </c>
      <c r="D66" s="10">
        <v>17542.782853570003</v>
      </c>
      <c r="E66" s="10">
        <v>8368.3662061600007</v>
      </c>
      <c r="F66" s="10">
        <v>556.84803023999996</v>
      </c>
      <c r="G66" s="10">
        <v>5566.6123647099994</v>
      </c>
      <c r="H66" s="10">
        <v>1245.3443057100001</v>
      </c>
      <c r="I66" s="10">
        <v>1022.87172588</v>
      </c>
      <c r="J66" s="10">
        <v>190.38321089999999</v>
      </c>
      <c r="K66" s="10">
        <v>842</v>
      </c>
      <c r="L66" s="10">
        <v>704</v>
      </c>
      <c r="M66" s="10" t="s">
        <v>69</v>
      </c>
      <c r="N66" s="10">
        <v>4664.8150790700001</v>
      </c>
      <c r="O66" s="10">
        <v>566.61458735999997</v>
      </c>
      <c r="P66" s="10" t="s">
        <v>69</v>
      </c>
      <c r="Q66" s="10">
        <v>442.42722470000001</v>
      </c>
      <c r="R66" s="10">
        <v>291.05926654000001</v>
      </c>
      <c r="S66" s="10">
        <v>8306.8530311100003</v>
      </c>
      <c r="T66" s="10">
        <v>2169.5634963200005</v>
      </c>
      <c r="U66" s="10">
        <v>50.224970490000004</v>
      </c>
      <c r="V66" s="10">
        <v>3.5155539999999999E-2</v>
      </c>
      <c r="W66" s="10">
        <v>1.1225339299999999</v>
      </c>
      <c r="X66" s="10">
        <v>398.3258917</v>
      </c>
      <c r="Y66" s="10">
        <v>28.71641348</v>
      </c>
      <c r="Z66" s="10">
        <v>22943.599999999999</v>
      </c>
      <c r="AA66" s="10">
        <v>4710.9519070799997</v>
      </c>
      <c r="AB66" s="10">
        <v>1937.0966620200002</v>
      </c>
      <c r="AC66" s="10">
        <v>623.35247406000008</v>
      </c>
      <c r="AD66" s="10" t="s">
        <v>69</v>
      </c>
      <c r="AE66" s="10">
        <v>-96.622007830000143</v>
      </c>
    </row>
    <row r="67" spans="1:31" ht="15.75" x14ac:dyDescent="0.25">
      <c r="A67" t="s">
        <v>128</v>
      </c>
      <c r="B67" s="10">
        <v>24100.186625719998</v>
      </c>
      <c r="C67" s="10">
        <v>784.95498086999999</v>
      </c>
      <c r="D67" s="10">
        <v>18047.036997809999</v>
      </c>
      <c r="E67" s="10">
        <v>10481.686290270001</v>
      </c>
      <c r="F67" s="10">
        <v>401.74735016</v>
      </c>
      <c r="G67" s="10">
        <v>6500.1706087999992</v>
      </c>
      <c r="H67" s="10">
        <v>1212.8315252100001</v>
      </c>
      <c r="I67" s="10">
        <v>1154.53102752</v>
      </c>
      <c r="J67" s="10">
        <v>187.23562235</v>
      </c>
      <c r="K67" s="10">
        <v>802</v>
      </c>
      <c r="L67" s="10">
        <v>707</v>
      </c>
      <c r="M67" s="10" t="s">
        <v>69</v>
      </c>
      <c r="N67" s="10">
        <v>6047.9470956499999</v>
      </c>
      <c r="O67" s="10">
        <v>2441.5950494899998</v>
      </c>
      <c r="P67" s="10" t="s">
        <v>69</v>
      </c>
      <c r="Q67" s="10">
        <v>492.43332167000005</v>
      </c>
      <c r="R67" s="10">
        <v>314.94459194000001</v>
      </c>
      <c r="S67" s="10">
        <v>12416.654748920002</v>
      </c>
      <c r="T67" s="10">
        <v>2498.9106244</v>
      </c>
      <c r="U67" s="10">
        <v>55.605985560000008</v>
      </c>
      <c r="V67" s="10">
        <v>7.7825599999999991E-3</v>
      </c>
      <c r="W67" s="10">
        <v>2.5279019099999998</v>
      </c>
      <c r="X67" s="10">
        <v>477.99097475000002</v>
      </c>
      <c r="Y67" s="10">
        <v>40.389381399999991</v>
      </c>
      <c r="Z67" s="10">
        <v>22686.5</v>
      </c>
      <c r="AA67" s="10">
        <v>4384.6836946699996</v>
      </c>
      <c r="AB67" s="10">
        <v>1956.54061523</v>
      </c>
      <c r="AC67" s="10">
        <v>650.78838569999994</v>
      </c>
      <c r="AD67" s="10" t="s">
        <v>69</v>
      </c>
      <c r="AE67" s="10">
        <v>559.84212082999943</v>
      </c>
    </row>
    <row r="68" spans="1:31" ht="15.75" x14ac:dyDescent="0.25">
      <c r="A68" t="s">
        <v>129</v>
      </c>
      <c r="B68" s="10">
        <v>16925.092047540002</v>
      </c>
      <c r="C68" s="10">
        <v>1096.4948315400002</v>
      </c>
      <c r="D68" s="10">
        <v>19886.392385589999</v>
      </c>
      <c r="E68" s="10">
        <v>12205.20897643</v>
      </c>
      <c r="F68" s="10">
        <v>352.06752242000005</v>
      </c>
      <c r="G68" s="10">
        <v>7170.0875792200004</v>
      </c>
      <c r="H68" s="10">
        <v>1235.9076723400001</v>
      </c>
      <c r="I68" s="10">
        <v>1059.2957542500001</v>
      </c>
      <c r="J68" s="10">
        <v>192.26711701000002</v>
      </c>
      <c r="K68" s="10">
        <v>901</v>
      </c>
      <c r="L68" s="10">
        <v>709</v>
      </c>
      <c r="M68" s="10" t="s">
        <v>69</v>
      </c>
      <c r="N68" s="10">
        <v>5871.2029048299992</v>
      </c>
      <c r="O68" s="10">
        <v>1031.4654124600002</v>
      </c>
      <c r="P68" s="10" t="s">
        <v>69</v>
      </c>
      <c r="Q68" s="10">
        <v>550.35079501999996</v>
      </c>
      <c r="R68" s="10">
        <v>363.489417</v>
      </c>
      <c r="S68" s="10">
        <v>12856.559622659999</v>
      </c>
      <c r="T68" s="10">
        <v>3185.8059023400001</v>
      </c>
      <c r="U68" s="10">
        <v>69.756576200000012</v>
      </c>
      <c r="V68" s="10">
        <v>4.096455999999999E-2</v>
      </c>
      <c r="W68" s="10">
        <v>1.7214505</v>
      </c>
      <c r="X68" s="10">
        <v>592.86951796000005</v>
      </c>
      <c r="Y68" s="10">
        <v>47.368891380000001</v>
      </c>
      <c r="Z68" s="10">
        <v>27104.2</v>
      </c>
      <c r="AA68" s="10">
        <v>5395.82484449</v>
      </c>
      <c r="AB68" s="10">
        <v>2420.1734150800003</v>
      </c>
      <c r="AC68" s="10">
        <v>690.23334817999989</v>
      </c>
      <c r="AD68" s="10">
        <v>0.81971196000000002</v>
      </c>
      <c r="AE68" s="10">
        <v>26.592977059999058</v>
      </c>
    </row>
    <row r="69" spans="1:31" ht="15.75" x14ac:dyDescent="0.25">
      <c r="A69" t="s">
        <v>130</v>
      </c>
      <c r="B69" s="10">
        <v>18622.426272389999</v>
      </c>
      <c r="C69" s="10">
        <v>1157.7719059399999</v>
      </c>
      <c r="D69" s="10">
        <v>21234.860001779998</v>
      </c>
      <c r="E69" s="10">
        <v>12284.653450599999</v>
      </c>
      <c r="F69" s="10">
        <v>337.16036169999995</v>
      </c>
      <c r="G69" s="10">
        <v>7647.8625979299995</v>
      </c>
      <c r="H69" s="10">
        <v>1387.3390906300001</v>
      </c>
      <c r="I69" s="10">
        <v>1183.8800355399999</v>
      </c>
      <c r="J69" s="10">
        <v>216.11418474000004</v>
      </c>
      <c r="K69" s="10">
        <v>1120</v>
      </c>
      <c r="L69" s="10">
        <v>936</v>
      </c>
      <c r="M69" s="10" t="s">
        <v>69</v>
      </c>
      <c r="N69" s="10">
        <v>7593.9776986899997</v>
      </c>
      <c r="O69" s="10">
        <v>1107.1166741900001</v>
      </c>
      <c r="P69" s="10" t="s">
        <v>69</v>
      </c>
      <c r="Q69" s="10">
        <v>607.34135903999993</v>
      </c>
      <c r="R69" s="10">
        <v>399.45216792999992</v>
      </c>
      <c r="S69" s="10">
        <v>11967.28504834</v>
      </c>
      <c r="T69" s="10">
        <v>3328.3467863300002</v>
      </c>
      <c r="U69" s="10">
        <v>70.098383740000003</v>
      </c>
      <c r="V69" s="10">
        <v>-1.12133101</v>
      </c>
      <c r="W69" s="10">
        <v>2.03583881</v>
      </c>
      <c r="X69" s="10">
        <v>619.73025964999999</v>
      </c>
      <c r="Y69" s="10">
        <v>46.435790740000002</v>
      </c>
      <c r="Z69" s="10">
        <v>26541.7</v>
      </c>
      <c r="AA69" s="10">
        <v>5118.5240527399992</v>
      </c>
      <c r="AB69" s="10">
        <v>2343.2551900099998</v>
      </c>
      <c r="AC69" s="10">
        <v>705.55827800000009</v>
      </c>
      <c r="AD69" s="10">
        <v>1.5682975099999998</v>
      </c>
      <c r="AE69" s="10">
        <v>-199.19907903000023</v>
      </c>
    </row>
    <row r="70" spans="1:31" ht="15.75" x14ac:dyDescent="0.25">
      <c r="A70" t="s">
        <v>131</v>
      </c>
      <c r="B70" s="10">
        <v>18737.186002670001</v>
      </c>
      <c r="C70" s="10">
        <v>1212.11262296</v>
      </c>
      <c r="D70" s="10">
        <v>22616.678638829999</v>
      </c>
      <c r="E70" s="10">
        <v>12700.38708841</v>
      </c>
      <c r="F70" s="10">
        <v>317.98160071000001</v>
      </c>
      <c r="G70" s="10">
        <v>7718.5164543299998</v>
      </c>
      <c r="H70" s="10">
        <v>1592.8494690900002</v>
      </c>
      <c r="I70" s="10">
        <v>1216.2659126399999</v>
      </c>
      <c r="J70" s="10">
        <v>248.90640822</v>
      </c>
      <c r="K70" s="10">
        <v>1053</v>
      </c>
      <c r="L70" s="10">
        <v>876</v>
      </c>
      <c r="M70" s="10" t="s">
        <v>69</v>
      </c>
      <c r="N70" s="10">
        <v>5435.0769940800001</v>
      </c>
      <c r="O70" s="10">
        <v>649.06689419999998</v>
      </c>
      <c r="P70" s="10" t="s">
        <v>69</v>
      </c>
      <c r="Q70" s="10">
        <v>663.53627268000002</v>
      </c>
      <c r="R70" s="10">
        <v>385.90848381000001</v>
      </c>
      <c r="S70" s="10">
        <v>10543.352023310001</v>
      </c>
      <c r="T70" s="10">
        <v>3166.7706839800003</v>
      </c>
      <c r="U70" s="10">
        <v>67.194779290000014</v>
      </c>
      <c r="V70" s="10">
        <v>1.595479E-2</v>
      </c>
      <c r="W70" s="10">
        <v>2.69379283</v>
      </c>
      <c r="X70" s="10">
        <v>610.75438333</v>
      </c>
      <c r="Y70" s="10">
        <v>43.658596209999999</v>
      </c>
      <c r="Z70" s="10">
        <v>31195.799999999996</v>
      </c>
      <c r="AA70" s="10">
        <v>6370.4457438699992</v>
      </c>
      <c r="AB70" s="10">
        <v>2883.0140686600002</v>
      </c>
      <c r="AC70" s="10">
        <v>738.01333647000001</v>
      </c>
      <c r="AD70" s="10">
        <v>22.057393489999995</v>
      </c>
      <c r="AE70" s="10">
        <v>102.43227593999944</v>
      </c>
    </row>
    <row r="71" spans="1:31" ht="15.75" x14ac:dyDescent="0.25">
      <c r="A71" t="s">
        <v>132</v>
      </c>
      <c r="B71" s="10">
        <v>32641.706732260001</v>
      </c>
      <c r="C71" s="10">
        <v>1452.20677875</v>
      </c>
      <c r="D71" s="10">
        <v>23564.91402937</v>
      </c>
      <c r="E71" s="10">
        <v>14206.17820106</v>
      </c>
      <c r="F71" s="10">
        <v>302.72595512999999</v>
      </c>
      <c r="G71" s="10">
        <v>8814.7390845400005</v>
      </c>
      <c r="H71" s="10">
        <v>1511.4544838300001</v>
      </c>
      <c r="I71" s="10">
        <v>1049.20708178</v>
      </c>
      <c r="J71" s="10">
        <v>237.91597259000002</v>
      </c>
      <c r="K71" s="10">
        <v>879</v>
      </c>
      <c r="L71" s="10">
        <v>1481</v>
      </c>
      <c r="M71" s="10" t="s">
        <v>69</v>
      </c>
      <c r="N71" s="10">
        <v>6921.3145480899975</v>
      </c>
      <c r="O71" s="10">
        <v>2730.8232417200002</v>
      </c>
      <c r="P71" s="10" t="s">
        <v>69</v>
      </c>
      <c r="Q71" s="10">
        <v>724.70439189000001</v>
      </c>
      <c r="R71" s="10">
        <v>432.23541588000001</v>
      </c>
      <c r="S71" s="10">
        <v>14382.570576329999</v>
      </c>
      <c r="T71" s="10">
        <v>3343.7580545699998</v>
      </c>
      <c r="U71" s="10">
        <v>71.509277569999995</v>
      </c>
      <c r="V71" s="10">
        <v>4.2214420000000002E-2</v>
      </c>
      <c r="W71" s="10">
        <v>1.608954</v>
      </c>
      <c r="X71" s="10">
        <v>667.86028915999998</v>
      </c>
      <c r="Y71" s="10">
        <v>54.781131380000005</v>
      </c>
      <c r="Z71" s="10">
        <v>31096.500000000004</v>
      </c>
      <c r="AA71" s="10">
        <v>6087.2070956199987</v>
      </c>
      <c r="AB71" s="10">
        <v>2827.2054736999999</v>
      </c>
      <c r="AC71" s="10">
        <v>762.98759701999995</v>
      </c>
      <c r="AD71" s="10">
        <v>36.12830482999999</v>
      </c>
      <c r="AE71" s="10">
        <v>381.80349207000052</v>
      </c>
    </row>
    <row r="72" spans="1:31" ht="15.75" x14ac:dyDescent="0.25">
      <c r="A72" t="s">
        <v>133</v>
      </c>
      <c r="B72" s="10">
        <v>24916.881637890001</v>
      </c>
      <c r="C72" s="10">
        <v>1516.83228779</v>
      </c>
      <c r="D72" s="10">
        <v>26794.194860480002</v>
      </c>
      <c r="E72" s="10">
        <v>15236.851892439998</v>
      </c>
      <c r="F72" s="10">
        <v>362.43697323999999</v>
      </c>
      <c r="G72" s="10">
        <v>9750.6754926100002</v>
      </c>
      <c r="H72" s="10">
        <v>1506.5188655899999</v>
      </c>
      <c r="I72" s="10">
        <v>1134.5208617600001</v>
      </c>
      <c r="J72" s="10">
        <v>270.45840287000004</v>
      </c>
      <c r="K72" s="10">
        <v>929</v>
      </c>
      <c r="L72" s="10">
        <v>1323</v>
      </c>
      <c r="M72" s="10" t="s">
        <v>69</v>
      </c>
      <c r="N72" s="10">
        <v>6719.8328615700011</v>
      </c>
      <c r="O72" s="10">
        <v>1182.9746726200001</v>
      </c>
      <c r="P72" s="10" t="s">
        <v>69</v>
      </c>
      <c r="Q72" s="10">
        <v>767.92835895999997</v>
      </c>
      <c r="R72" s="10">
        <v>489.01483088999998</v>
      </c>
      <c r="S72" s="10">
        <v>15689.098457640001</v>
      </c>
      <c r="T72" s="10">
        <v>3729.8211181899987</v>
      </c>
      <c r="U72" s="10">
        <v>81.576070680000001</v>
      </c>
      <c r="V72" s="10">
        <v>2.1663200000000033E-3</v>
      </c>
      <c r="W72" s="10">
        <v>1.84022014</v>
      </c>
      <c r="X72" s="10">
        <v>807.73290401999998</v>
      </c>
      <c r="Y72" s="10">
        <v>65.208661419999999</v>
      </c>
      <c r="Z72" s="10">
        <v>36632.199999999997</v>
      </c>
      <c r="AA72" s="10">
        <v>7562.3329313700015</v>
      </c>
      <c r="AB72" s="10">
        <v>3420.4075820900007</v>
      </c>
      <c r="AC72" s="10">
        <v>812.26313848000018</v>
      </c>
      <c r="AD72" s="10">
        <v>39.270748679999997</v>
      </c>
      <c r="AE72" s="10">
        <v>242.0087417299998</v>
      </c>
    </row>
    <row r="73" spans="1:31" ht="15.75" x14ac:dyDescent="0.25">
      <c r="A73" t="s">
        <v>134</v>
      </c>
      <c r="B73" s="10">
        <v>26844.186445020001</v>
      </c>
      <c r="C73" s="10">
        <v>1276.76875868</v>
      </c>
      <c r="D73" s="10">
        <v>27426.518293040001</v>
      </c>
      <c r="E73" s="10">
        <v>15520.16727469</v>
      </c>
      <c r="F73" s="10">
        <v>373.79805064999999</v>
      </c>
      <c r="G73" s="10">
        <v>9895.5704044800004</v>
      </c>
      <c r="H73" s="10">
        <v>1671.8437703900001</v>
      </c>
      <c r="I73" s="10">
        <v>1273.63572245</v>
      </c>
      <c r="J73" s="10">
        <v>268.98635407</v>
      </c>
      <c r="K73" s="10">
        <v>968</v>
      </c>
      <c r="L73" s="10">
        <v>1010</v>
      </c>
      <c r="M73" s="10" t="s">
        <v>69</v>
      </c>
      <c r="N73" s="10">
        <v>9124.3455810599989</v>
      </c>
      <c r="O73" s="10">
        <v>1329.11376943</v>
      </c>
      <c r="P73" s="10" t="s">
        <v>69</v>
      </c>
      <c r="Q73" s="10">
        <v>826.86776680999992</v>
      </c>
      <c r="R73" s="10">
        <v>542.50886921000006</v>
      </c>
      <c r="S73" s="10">
        <v>13548.310502120001</v>
      </c>
      <c r="T73" s="10">
        <v>4132.2233638799999</v>
      </c>
      <c r="U73" s="10">
        <v>84.656445059999996</v>
      </c>
      <c r="V73" s="10">
        <v>-0.48524447000000004</v>
      </c>
      <c r="W73" s="10">
        <v>2.1607197599999997</v>
      </c>
      <c r="X73" s="10">
        <v>800.50944247999996</v>
      </c>
      <c r="Y73" s="10">
        <v>75.104361100000006</v>
      </c>
      <c r="Z73" s="10">
        <v>34887</v>
      </c>
      <c r="AA73" s="10">
        <v>6987.6708595699984</v>
      </c>
      <c r="AB73" s="10">
        <v>3206.8900193899999</v>
      </c>
      <c r="AC73" s="10">
        <v>784.10573473999989</v>
      </c>
      <c r="AD73" s="10">
        <v>42.965787540000001</v>
      </c>
      <c r="AE73" s="10">
        <v>-16.619018360000609</v>
      </c>
    </row>
    <row r="74" spans="1:31" ht="15.75" x14ac:dyDescent="0.25">
      <c r="A74" t="s">
        <v>135</v>
      </c>
      <c r="B74" s="10">
        <v>24949.48706304</v>
      </c>
      <c r="C74" s="10">
        <v>1171.4726729899999</v>
      </c>
      <c r="D74" s="10">
        <v>31033.546179159999</v>
      </c>
      <c r="E74" s="10">
        <v>12302.605517350001</v>
      </c>
      <c r="F74" s="10">
        <v>326.10196423000002</v>
      </c>
      <c r="G74" s="10">
        <v>9837.9353326</v>
      </c>
      <c r="H74" s="10">
        <v>1843.8323141099997</v>
      </c>
      <c r="I74" s="10">
        <v>1259.0630807499999</v>
      </c>
      <c r="J74" s="10">
        <v>291.84101712999995</v>
      </c>
      <c r="K74" s="10">
        <v>726</v>
      </c>
      <c r="L74" s="10">
        <v>700</v>
      </c>
      <c r="M74" s="10" t="s">
        <v>69</v>
      </c>
      <c r="N74" s="10">
        <v>7302.8975256499998</v>
      </c>
      <c r="O74" s="10">
        <v>742.06682290999993</v>
      </c>
      <c r="P74" s="10" t="s">
        <v>69</v>
      </c>
      <c r="Q74" s="10">
        <v>848.30791094000017</v>
      </c>
      <c r="R74" s="10">
        <v>466.36675375999999</v>
      </c>
      <c r="S74" s="10">
        <v>14455.589500149999</v>
      </c>
      <c r="T74" s="10">
        <v>3374.4971432399998</v>
      </c>
      <c r="U74" s="10">
        <v>70.721698570000001</v>
      </c>
      <c r="V74" s="10">
        <v>1.955411E-2</v>
      </c>
      <c r="W74" s="10">
        <v>2.0330400800000001</v>
      </c>
      <c r="X74" s="10">
        <v>657.95368342000006</v>
      </c>
      <c r="Y74" s="10">
        <v>84.923336619999986</v>
      </c>
      <c r="Z74" s="10">
        <v>41385.300000000003</v>
      </c>
      <c r="AA74" s="10">
        <v>8788.1567882800009</v>
      </c>
      <c r="AB74" s="10">
        <v>3883.8270676499997</v>
      </c>
      <c r="AC74" s="10">
        <v>822.72787680999988</v>
      </c>
      <c r="AD74" s="10">
        <v>45.251232299999998</v>
      </c>
      <c r="AE74" s="10">
        <v>402.07070128000117</v>
      </c>
    </row>
    <row r="75" spans="1:31" ht="15.75" x14ac:dyDescent="0.25">
      <c r="A75" t="s">
        <v>136</v>
      </c>
      <c r="B75" s="10">
        <v>37070.81942249</v>
      </c>
      <c r="C75" s="10">
        <v>1314.7976963300002</v>
      </c>
      <c r="D75" s="10">
        <v>32567.386446440003</v>
      </c>
      <c r="E75" s="10">
        <v>12815.189382330002</v>
      </c>
      <c r="F75" s="10">
        <v>332.14204254000003</v>
      </c>
      <c r="G75" s="10">
        <v>10585.89607576</v>
      </c>
      <c r="H75" s="10">
        <v>1787.5797600800001</v>
      </c>
      <c r="I75" s="10">
        <v>1249.4352722200001</v>
      </c>
      <c r="J75" s="10">
        <v>287.00852752999992</v>
      </c>
      <c r="K75" s="10">
        <v>295.62299999999999</v>
      </c>
      <c r="L75" s="10">
        <v>227</v>
      </c>
      <c r="M75" s="10" t="s">
        <v>69</v>
      </c>
      <c r="N75" s="10">
        <v>8819.9152085800015</v>
      </c>
      <c r="O75" s="10">
        <v>3305.6264340499993</v>
      </c>
      <c r="P75" s="10" t="s">
        <v>69</v>
      </c>
      <c r="Q75" s="10">
        <v>920.60941015999992</v>
      </c>
      <c r="R75" s="10">
        <v>561.83542725000007</v>
      </c>
      <c r="S75" s="10">
        <v>16953.85219686</v>
      </c>
      <c r="T75" s="10">
        <v>3262.4598300200005</v>
      </c>
      <c r="U75" s="10">
        <v>70.924067210000004</v>
      </c>
      <c r="V75" s="10">
        <v>1.5682700000000001E-2</v>
      </c>
      <c r="W75" s="10">
        <v>2.4243433199999997</v>
      </c>
      <c r="X75" s="10">
        <v>719.93641625999999</v>
      </c>
      <c r="Y75" s="10">
        <v>71.757971130000001</v>
      </c>
      <c r="Z75" s="10">
        <v>40413.599999999999</v>
      </c>
      <c r="AA75" s="10">
        <v>8166.4531832100001</v>
      </c>
      <c r="AB75" s="10">
        <v>3584.0513409099999</v>
      </c>
      <c r="AC75" s="10">
        <v>832.36409803999993</v>
      </c>
      <c r="AD75" s="10">
        <v>63.536255199999999</v>
      </c>
      <c r="AE75" s="10">
        <v>600.22265626000126</v>
      </c>
    </row>
    <row r="76" spans="1:31" ht="15.75" x14ac:dyDescent="0.25">
      <c r="A76" t="s">
        <v>137</v>
      </c>
      <c r="B76" s="10">
        <v>32360.226022489998</v>
      </c>
      <c r="C76" s="10">
        <v>1702.5106067500003</v>
      </c>
      <c r="D76" s="10">
        <v>34011.184692089999</v>
      </c>
      <c r="E76" s="10">
        <v>15749.62816237</v>
      </c>
      <c r="F76" s="10">
        <v>360.05375961999999</v>
      </c>
      <c r="G76" s="10">
        <v>11391.17326422</v>
      </c>
      <c r="H76" s="10">
        <v>1899.08608465</v>
      </c>
      <c r="I76" s="10">
        <v>1377.57111001</v>
      </c>
      <c r="J76" s="10">
        <v>294.56593723999998</v>
      </c>
      <c r="K76" s="10">
        <v>523.20000000000005</v>
      </c>
      <c r="L76" s="10">
        <v>250</v>
      </c>
      <c r="M76" s="10" t="s">
        <v>69</v>
      </c>
      <c r="N76" s="10">
        <v>11243.56571572</v>
      </c>
      <c r="O76" s="10">
        <v>1498.3628922299999</v>
      </c>
      <c r="P76" s="10" t="s">
        <v>69</v>
      </c>
      <c r="Q76" s="10">
        <v>998.96900009000012</v>
      </c>
      <c r="R76" s="10">
        <v>543.34905457000002</v>
      </c>
      <c r="S76" s="10">
        <v>17893.35355544</v>
      </c>
      <c r="T76" s="10">
        <v>4528.7687966399999</v>
      </c>
      <c r="U76" s="10">
        <v>89.13852627</v>
      </c>
      <c r="V76" s="10">
        <v>-1.0461631300000001</v>
      </c>
      <c r="W76" s="10">
        <v>3.5869062600000006</v>
      </c>
      <c r="X76" s="10">
        <v>854.67388698000013</v>
      </c>
      <c r="Y76" s="10">
        <v>93.473937540000009</v>
      </c>
      <c r="Z76" s="10">
        <v>47477.3</v>
      </c>
      <c r="AA76" s="10">
        <v>9882.5737092400013</v>
      </c>
      <c r="AB76" s="10">
        <v>4425.4691761400009</v>
      </c>
      <c r="AC76" s="10">
        <v>1127.2074326000002</v>
      </c>
      <c r="AD76" s="10">
        <v>50.81457558000001</v>
      </c>
      <c r="AE76" s="10">
        <v>476.92377648000024</v>
      </c>
    </row>
    <row r="77" spans="1:31" ht="15.75" x14ac:dyDescent="0.25">
      <c r="A77" t="s">
        <v>138</v>
      </c>
      <c r="B77" s="10">
        <v>37217.135334909995</v>
      </c>
      <c r="C77" s="10">
        <v>2653.1914803300001</v>
      </c>
      <c r="D77" s="10">
        <v>36204.209219769997</v>
      </c>
      <c r="E77" s="10">
        <v>18383.500526489999</v>
      </c>
      <c r="F77" s="10">
        <v>424.71676065000003</v>
      </c>
      <c r="G77" s="10">
        <v>12116.141958460001</v>
      </c>
      <c r="H77" s="10">
        <v>1982.0429220600001</v>
      </c>
      <c r="I77" s="10">
        <v>1633.6436863900003</v>
      </c>
      <c r="J77" s="10">
        <v>323.61968824999997</v>
      </c>
      <c r="K77" s="10">
        <v>1026</v>
      </c>
      <c r="L77" s="10">
        <v>810</v>
      </c>
      <c r="M77" s="10" t="s">
        <v>69</v>
      </c>
      <c r="N77" s="10">
        <v>12854.869210570003</v>
      </c>
      <c r="O77" s="10">
        <v>1716.6906605700001</v>
      </c>
      <c r="P77" s="10" t="s">
        <v>69</v>
      </c>
      <c r="Q77" s="10">
        <v>1057.22116108</v>
      </c>
      <c r="R77" s="10">
        <v>558.46156716000007</v>
      </c>
      <c r="S77" s="10">
        <v>12013.056037479999</v>
      </c>
      <c r="T77" s="10">
        <v>5146.8803495900002</v>
      </c>
      <c r="U77" s="10">
        <v>96.607530819999994</v>
      </c>
      <c r="V77" s="10">
        <v>0.7562611199999999</v>
      </c>
      <c r="W77" s="10">
        <v>1.71572966</v>
      </c>
      <c r="X77" s="10">
        <v>865.74009505999993</v>
      </c>
      <c r="Y77" s="10">
        <v>97.817951319999992</v>
      </c>
      <c r="Z77" s="10">
        <v>45978.9</v>
      </c>
      <c r="AA77" s="10">
        <v>9163.8282044999996</v>
      </c>
      <c r="AB77" s="10">
        <v>4332.54150132</v>
      </c>
      <c r="AC77" s="10">
        <v>1174.7582750699999</v>
      </c>
      <c r="AD77" s="10">
        <v>41.481811780000001</v>
      </c>
      <c r="AE77" s="10">
        <v>-545.55802984000059</v>
      </c>
    </row>
    <row r="78" spans="1:31" ht="15.75" x14ac:dyDescent="0.25">
      <c r="A78" t="s">
        <v>139</v>
      </c>
      <c r="B78" s="10">
        <v>34382.069950639998</v>
      </c>
      <c r="C78" s="10">
        <v>2568.51585127</v>
      </c>
      <c r="D78" s="10">
        <v>39156.901901589998</v>
      </c>
      <c r="E78" s="10">
        <v>17225.871899419999</v>
      </c>
      <c r="F78" s="10">
        <v>391.91396411999995</v>
      </c>
      <c r="G78" s="10">
        <v>12197.555084109999</v>
      </c>
      <c r="H78" s="10">
        <v>2173.1740100000002</v>
      </c>
      <c r="I78" s="10">
        <v>1729.810669</v>
      </c>
      <c r="J78" s="10">
        <v>327.96807200000001</v>
      </c>
      <c r="K78" s="10">
        <v>662</v>
      </c>
      <c r="L78" s="10">
        <v>635</v>
      </c>
      <c r="M78" s="10" t="s">
        <v>69</v>
      </c>
      <c r="N78" s="10">
        <v>8600.3611315399994</v>
      </c>
      <c r="O78" s="10">
        <v>994.60771721000015</v>
      </c>
      <c r="P78" s="10" t="s">
        <v>69</v>
      </c>
      <c r="Q78" s="10">
        <v>1079.2000949999999</v>
      </c>
      <c r="R78" s="10">
        <v>567.40233499999999</v>
      </c>
      <c r="S78" s="10">
        <v>9782.6595913300007</v>
      </c>
      <c r="T78" s="10">
        <v>5006.61636</v>
      </c>
      <c r="U78" s="10">
        <v>90.060999800000005</v>
      </c>
      <c r="V78" s="10">
        <v>3.587373E-2</v>
      </c>
      <c r="W78" s="10">
        <v>2.3722354000000001</v>
      </c>
      <c r="X78" s="10">
        <v>818.12284899999997</v>
      </c>
      <c r="Y78" s="10">
        <v>83.477827700000006</v>
      </c>
      <c r="Z78" s="10">
        <v>54318.200000000004</v>
      </c>
      <c r="AA78" s="10">
        <v>11325.52283</v>
      </c>
      <c r="AB78" s="10">
        <v>5667.9872300000006</v>
      </c>
      <c r="AC78" s="10">
        <v>1190.842048</v>
      </c>
      <c r="AD78" s="10">
        <v>44.608692300000001</v>
      </c>
      <c r="AE78" s="10">
        <v>221.01230199999998</v>
      </c>
    </row>
    <row r="79" spans="1:31" ht="15.75" x14ac:dyDescent="0.25">
      <c r="A79" t="s">
        <v>140</v>
      </c>
      <c r="B79" s="10">
        <v>51100.530564100001</v>
      </c>
      <c r="C79" s="10">
        <v>2961.1712979100002</v>
      </c>
      <c r="D79" s="10">
        <v>39470.608659929996</v>
      </c>
      <c r="E79" s="10">
        <v>20074.422573240001</v>
      </c>
      <c r="F79" s="10">
        <v>480.24347840999997</v>
      </c>
      <c r="G79" s="10">
        <v>13324.52650184</v>
      </c>
      <c r="H79" s="10">
        <v>2152.6252020000002</v>
      </c>
      <c r="I79" s="10">
        <v>1734.487104</v>
      </c>
      <c r="J79" s="10">
        <v>330.50926609999999</v>
      </c>
      <c r="K79" s="10">
        <v>983</v>
      </c>
      <c r="L79" s="10">
        <v>1599</v>
      </c>
      <c r="M79" s="10" t="s">
        <v>69</v>
      </c>
      <c r="N79" s="10">
        <v>11580.748563739999</v>
      </c>
      <c r="O79" s="10">
        <v>4759.1177057100012</v>
      </c>
      <c r="P79" s="10" t="s">
        <v>69</v>
      </c>
      <c r="Q79" s="10">
        <v>1131.6241500000001</v>
      </c>
      <c r="R79" s="10">
        <v>587.69497799999999</v>
      </c>
      <c r="S79" s="10">
        <v>18332.10423167</v>
      </c>
      <c r="T79" s="10">
        <v>5416.4835400000002</v>
      </c>
      <c r="U79" s="10">
        <v>97.523683399999996</v>
      </c>
      <c r="V79" s="10">
        <v>7.6799800000000003E-3</v>
      </c>
      <c r="W79" s="10">
        <v>0.40372948999999997</v>
      </c>
      <c r="X79" s="10">
        <v>1481.1664369999999</v>
      </c>
      <c r="Y79" s="10">
        <v>79.030842300000003</v>
      </c>
      <c r="Z79" s="10">
        <v>54897.7</v>
      </c>
      <c r="AA79" s="10">
        <v>10542.665919999999</v>
      </c>
      <c r="AB79" s="10">
        <v>5370.7711099999997</v>
      </c>
      <c r="AC79" s="10">
        <v>1192.460227</v>
      </c>
      <c r="AD79" s="10">
        <v>44.874807100000005</v>
      </c>
      <c r="AE79" s="10">
        <v>-1359.0389300000002</v>
      </c>
    </row>
    <row r="80" spans="1:31" ht="15.75" x14ac:dyDescent="0.25">
      <c r="A80" t="s">
        <v>141</v>
      </c>
      <c r="B80" s="10">
        <v>42567.180661869999</v>
      </c>
      <c r="C80" s="10">
        <v>2820.1742138600002</v>
      </c>
      <c r="D80" s="10">
        <v>45089.388566089998</v>
      </c>
      <c r="E80" s="10">
        <v>21504.944258060001</v>
      </c>
      <c r="F80" s="10">
        <v>383.62300011000002</v>
      </c>
      <c r="G80" s="10">
        <v>15056.70249937</v>
      </c>
      <c r="H80" s="10">
        <v>2178.656066</v>
      </c>
      <c r="I80" s="10">
        <v>1822.3227730000003</v>
      </c>
      <c r="J80" s="10">
        <v>338.65623300000004</v>
      </c>
      <c r="K80" s="10">
        <v>597</v>
      </c>
      <c r="L80" s="10">
        <v>1793</v>
      </c>
      <c r="M80" s="10" t="s">
        <v>69</v>
      </c>
      <c r="N80" s="10">
        <v>12013.79421796</v>
      </c>
      <c r="O80" s="10">
        <v>2189.8262726799999</v>
      </c>
      <c r="P80" s="10" t="s">
        <v>69</v>
      </c>
      <c r="Q80" s="10">
        <v>1242.019548</v>
      </c>
      <c r="R80" s="10">
        <v>659.61735299999998</v>
      </c>
      <c r="S80" s="10">
        <v>17714.773632290002</v>
      </c>
      <c r="T80" s="10">
        <v>6141.6923900000002</v>
      </c>
      <c r="U80" s="10">
        <v>111.55428670000001</v>
      </c>
      <c r="V80" s="10">
        <v>1.0002260000000001E-2</v>
      </c>
      <c r="W80" s="10">
        <v>0.50581147000000004</v>
      </c>
      <c r="X80" s="10">
        <v>1934.088186</v>
      </c>
      <c r="Y80" s="10">
        <v>88.5375145</v>
      </c>
      <c r="Z80" s="10">
        <v>62876.2</v>
      </c>
      <c r="AA80" s="10">
        <v>12813.020659999998</v>
      </c>
      <c r="AB80" s="10">
        <v>6370.8203700000004</v>
      </c>
      <c r="AC80" s="10">
        <v>1283.859289</v>
      </c>
      <c r="AD80" s="10">
        <v>46.247998200000005</v>
      </c>
      <c r="AE80" s="10">
        <v>-365.76718320000003</v>
      </c>
    </row>
    <row r="81" spans="1:31" ht="15.75" x14ac:dyDescent="0.25">
      <c r="A81" t="s">
        <v>142</v>
      </c>
      <c r="B81" s="10">
        <v>44388.08234429</v>
      </c>
      <c r="C81" s="10">
        <v>2810.9789337100001</v>
      </c>
      <c r="D81" s="10">
        <v>46666.630928989995</v>
      </c>
      <c r="E81" s="10">
        <v>22554.263216879997</v>
      </c>
      <c r="F81" s="10">
        <v>472.66206860999995</v>
      </c>
      <c r="G81" s="10">
        <v>15936.09019072</v>
      </c>
      <c r="H81" s="10">
        <v>2555.0044339999999</v>
      </c>
      <c r="I81" s="10">
        <v>2144.1014570000002</v>
      </c>
      <c r="J81" s="10">
        <v>395.13573500000001</v>
      </c>
      <c r="K81" s="10">
        <v>495</v>
      </c>
      <c r="L81" s="10">
        <v>1366.9</v>
      </c>
      <c r="M81" s="10" t="s">
        <v>69</v>
      </c>
      <c r="N81" s="10">
        <v>14855.591644270002</v>
      </c>
      <c r="O81" s="10">
        <v>2352.7541634199997</v>
      </c>
      <c r="P81" s="10" t="s">
        <v>69</v>
      </c>
      <c r="Q81" s="10">
        <v>970.04694600000005</v>
      </c>
      <c r="R81" s="10">
        <v>730.44411700000001</v>
      </c>
      <c r="S81" s="10">
        <v>9635.7141127899995</v>
      </c>
      <c r="T81" s="10">
        <v>6569.5601200000001</v>
      </c>
      <c r="U81" s="10">
        <v>117.02948280000001</v>
      </c>
      <c r="V81" s="10">
        <v>4.706975E-2</v>
      </c>
      <c r="W81" s="10">
        <v>2.4632631900000002</v>
      </c>
      <c r="X81" s="10">
        <v>1762.0554209999998</v>
      </c>
      <c r="Y81" s="10">
        <v>86.145893400000006</v>
      </c>
      <c r="Z81" s="10">
        <v>57729.100000000006</v>
      </c>
      <c r="AA81" s="10">
        <v>11735.16887</v>
      </c>
      <c r="AB81" s="10">
        <v>5932.6879600000002</v>
      </c>
      <c r="AC81" s="10">
        <v>1457.6954169999999</v>
      </c>
      <c r="AD81" s="10">
        <v>46.514556999999996</v>
      </c>
      <c r="AE81" s="10">
        <v>190.42024240000001</v>
      </c>
    </row>
    <row r="82" spans="1:31" ht="15.75" x14ac:dyDescent="0.25">
      <c r="A82" t="s">
        <v>143</v>
      </c>
      <c r="B82" s="10">
        <v>47675.37706844999</v>
      </c>
      <c r="C82" s="10">
        <v>3644.7900540599999</v>
      </c>
      <c r="D82" s="10">
        <v>54178.670479110006</v>
      </c>
      <c r="E82" s="10">
        <v>24699.925760409998</v>
      </c>
      <c r="F82" s="10">
        <v>462.86267449000002</v>
      </c>
      <c r="G82" s="10">
        <v>16635.576154840001</v>
      </c>
      <c r="H82" s="10">
        <v>2677.7642346800003</v>
      </c>
      <c r="I82" s="10">
        <v>2579.9603540200001</v>
      </c>
      <c r="J82" s="10">
        <v>413.54608159999987</v>
      </c>
      <c r="K82" s="10">
        <v>1455.8</v>
      </c>
      <c r="L82" s="10">
        <v>2406</v>
      </c>
      <c r="M82" s="10" t="s">
        <v>69</v>
      </c>
      <c r="N82" s="10">
        <v>11037.668325949999</v>
      </c>
      <c r="O82" s="10">
        <v>1544.57296954</v>
      </c>
      <c r="P82" s="10" t="s">
        <v>69</v>
      </c>
      <c r="Q82" s="10">
        <v>959.89858546000005</v>
      </c>
      <c r="R82" s="10">
        <v>677.69003426999996</v>
      </c>
      <c r="S82" s="10">
        <v>13297.50097463</v>
      </c>
      <c r="T82" s="10">
        <v>6782.9487212200002</v>
      </c>
      <c r="U82" s="10">
        <v>134.65374572000002</v>
      </c>
      <c r="V82" s="10">
        <v>0.15732596000000001</v>
      </c>
      <c r="W82" s="10">
        <v>1.7657400600000002</v>
      </c>
      <c r="X82" s="10">
        <v>1852.8318486200003</v>
      </c>
      <c r="Y82" s="10">
        <v>127.00365877000002</v>
      </c>
      <c r="Z82" s="10">
        <v>70274.3</v>
      </c>
      <c r="AA82" s="10">
        <v>14590.0930522</v>
      </c>
      <c r="AB82" s="10">
        <v>7389.0189067600004</v>
      </c>
      <c r="AC82" s="10">
        <v>1742.4753338</v>
      </c>
      <c r="AD82" s="10">
        <v>33.53981959</v>
      </c>
      <c r="AE82" s="10">
        <v>223.60293703999935</v>
      </c>
    </row>
    <row r="83" spans="1:31" ht="15.75" x14ac:dyDescent="0.25">
      <c r="A83" t="s">
        <v>144</v>
      </c>
      <c r="B83" s="10">
        <v>70039.67413146999</v>
      </c>
      <c r="C83" s="10">
        <v>4297.7324016800003</v>
      </c>
      <c r="D83" s="10">
        <v>52253.155288830007</v>
      </c>
      <c r="E83" s="10">
        <v>26781.379441729998</v>
      </c>
      <c r="F83" s="10">
        <v>714.40071995999995</v>
      </c>
      <c r="G83" s="10">
        <v>18247.015797</v>
      </c>
      <c r="H83" s="10">
        <v>2874.6807196800005</v>
      </c>
      <c r="I83" s="10">
        <v>2096.1268056200001</v>
      </c>
      <c r="J83" s="10">
        <v>453.22389293999993</v>
      </c>
      <c r="K83" s="10">
        <v>602.02299999999991</v>
      </c>
      <c r="L83" s="10">
        <v>2949.3</v>
      </c>
      <c r="M83" s="10" t="s">
        <v>69</v>
      </c>
      <c r="N83" s="10">
        <v>13484.922247319999</v>
      </c>
      <c r="O83" s="10">
        <v>6536.4043092899992</v>
      </c>
      <c r="P83" s="10" t="s">
        <v>69</v>
      </c>
      <c r="Q83" s="10">
        <v>1012.7243017300001</v>
      </c>
      <c r="R83" s="10">
        <v>757.21218697999984</v>
      </c>
      <c r="S83" s="10">
        <v>31851.654213829999</v>
      </c>
      <c r="T83" s="10">
        <v>7206.7318382000012</v>
      </c>
      <c r="U83" s="10">
        <v>141.38967590999999</v>
      </c>
      <c r="V83" s="10">
        <v>9.9150999999999992E-4</v>
      </c>
      <c r="W83" s="10">
        <v>5.578764399999999</v>
      </c>
      <c r="X83" s="10">
        <v>1923.6165003700003</v>
      </c>
      <c r="Y83" s="10">
        <v>114.17901217000001</v>
      </c>
      <c r="Z83" s="10">
        <v>67752.899999999994</v>
      </c>
      <c r="AA83" s="10">
        <v>13805.01931028</v>
      </c>
      <c r="AB83" s="10">
        <v>7239.9839994899994</v>
      </c>
      <c r="AC83" s="10">
        <v>1810.1790171600003</v>
      </c>
      <c r="AD83" s="10">
        <v>60.349607569999989</v>
      </c>
      <c r="AE83" s="10">
        <v>113.96119750999924</v>
      </c>
    </row>
    <row r="84" spans="1:31" ht="15.75" x14ac:dyDescent="0.25">
      <c r="A84" t="s">
        <v>145</v>
      </c>
      <c r="B84" s="10">
        <v>62506.330696110002</v>
      </c>
      <c r="C84" s="10">
        <v>4062.6278576999994</v>
      </c>
      <c r="D84" s="10">
        <v>59698.787122189999</v>
      </c>
      <c r="E84" s="10">
        <v>27088.252725109996</v>
      </c>
      <c r="F84" s="10">
        <v>498.14528232999999</v>
      </c>
      <c r="G84" s="10">
        <v>20453.297819659998</v>
      </c>
      <c r="H84" s="10">
        <v>3330.9335527800004</v>
      </c>
      <c r="I84" s="10">
        <v>2006.7884527699998</v>
      </c>
      <c r="J84" s="10">
        <v>517.42994720000002</v>
      </c>
      <c r="K84" s="10">
        <v>870</v>
      </c>
      <c r="L84" s="10">
        <v>2550</v>
      </c>
      <c r="M84" s="10" t="s">
        <v>69</v>
      </c>
      <c r="N84" s="10">
        <v>18754.323882889999</v>
      </c>
      <c r="O84" s="10">
        <v>2963.4287411199998</v>
      </c>
      <c r="P84" s="10" t="s">
        <v>69</v>
      </c>
      <c r="Q84" s="10">
        <v>1100.77747722</v>
      </c>
      <c r="R84" s="10">
        <v>846.75094297999988</v>
      </c>
      <c r="S84" s="10">
        <v>21852.127138969998</v>
      </c>
      <c r="T84" s="10">
        <v>7869.3019210099992</v>
      </c>
      <c r="U84" s="10">
        <v>152.39802633999997</v>
      </c>
      <c r="V84" s="10">
        <v>4.3290179999999998E-2</v>
      </c>
      <c r="W84" s="10">
        <v>9.9705959100000001</v>
      </c>
      <c r="X84" s="10">
        <v>1974.3778533300001</v>
      </c>
      <c r="Y84" s="10">
        <v>116.72566526</v>
      </c>
      <c r="Z84" s="10">
        <v>81485.8</v>
      </c>
      <c r="AA84" s="10">
        <v>16928.419516280002</v>
      </c>
      <c r="AB84" s="10">
        <v>8896.7052365800009</v>
      </c>
      <c r="AC84" s="10">
        <v>1864.3975355</v>
      </c>
      <c r="AD84" s="10">
        <v>70.225149389999999</v>
      </c>
      <c r="AE84" s="10">
        <v>1004.1277594699998</v>
      </c>
    </row>
    <row r="85" spans="1:31" ht="15.75" x14ac:dyDescent="0.25">
      <c r="A85" t="s">
        <v>146</v>
      </c>
      <c r="B85" s="10">
        <v>71144.355806729989</v>
      </c>
      <c r="C85" s="10">
        <v>3704.2284789800001</v>
      </c>
      <c r="D85" s="10">
        <v>65129.84244593</v>
      </c>
      <c r="E85" s="10">
        <v>26395.835721159994</v>
      </c>
      <c r="F85" s="10">
        <v>615.45987898999999</v>
      </c>
      <c r="G85" s="10">
        <v>21403.95545017</v>
      </c>
      <c r="H85" s="10">
        <v>4041.9745294699997</v>
      </c>
      <c r="I85" s="10">
        <v>2811.5582245000001</v>
      </c>
      <c r="J85" s="10">
        <v>629.07167797</v>
      </c>
      <c r="K85" s="10">
        <v>2095.1999999999998</v>
      </c>
      <c r="L85" s="10">
        <v>3310</v>
      </c>
      <c r="M85" s="10" t="s">
        <v>69</v>
      </c>
      <c r="N85" s="10">
        <v>25137.150514909998</v>
      </c>
      <c r="O85" s="10">
        <v>3311.2521742200001</v>
      </c>
      <c r="P85" s="10" t="s">
        <v>69</v>
      </c>
      <c r="Q85" s="10">
        <v>1185.8890560899999</v>
      </c>
      <c r="R85" s="10">
        <v>999.90779272000009</v>
      </c>
      <c r="S85" s="10">
        <v>17086.88328477</v>
      </c>
      <c r="T85" s="10">
        <v>7623.2901213700006</v>
      </c>
      <c r="U85" s="10">
        <v>147.73435742999999</v>
      </c>
      <c r="V85" s="10">
        <v>0.15218934000000001</v>
      </c>
      <c r="W85" s="10">
        <v>22.801817</v>
      </c>
      <c r="X85" s="10">
        <v>1863.82045911</v>
      </c>
      <c r="Y85" s="10">
        <v>95.776435249999992</v>
      </c>
      <c r="Z85" s="10">
        <v>78943.899999999994</v>
      </c>
      <c r="AA85" s="10">
        <v>15821.897283540002</v>
      </c>
      <c r="AB85" s="10">
        <v>8683.1794275299999</v>
      </c>
      <c r="AC85" s="10">
        <v>2333.46056993</v>
      </c>
      <c r="AD85" s="10">
        <v>73.18477249</v>
      </c>
      <c r="AE85" s="10">
        <v>-1.9249499800003065</v>
      </c>
    </row>
    <row r="86" spans="1:31" ht="15.75" x14ac:dyDescent="0.25">
      <c r="A86" t="s">
        <v>147</v>
      </c>
      <c r="B86" s="10">
        <v>68111.590633689993</v>
      </c>
      <c r="C86" s="10">
        <v>3867.5318588</v>
      </c>
      <c r="D86" s="10">
        <v>73234.276274430013</v>
      </c>
      <c r="E86" s="10">
        <v>26736.539020060001</v>
      </c>
      <c r="F86" s="10">
        <v>537.87445271999991</v>
      </c>
      <c r="G86" s="10">
        <v>20640.413725009999</v>
      </c>
      <c r="H86" s="10">
        <v>4416.6619609199988</v>
      </c>
      <c r="I86" s="10">
        <v>2639.2409995799999</v>
      </c>
      <c r="J86" s="10">
        <v>605.80338316999996</v>
      </c>
      <c r="K86" s="10">
        <v>1506.4</v>
      </c>
      <c r="L86" s="10">
        <v>603</v>
      </c>
      <c r="M86" s="10" t="s">
        <v>69</v>
      </c>
      <c r="N86" s="10">
        <v>15709.219685779999</v>
      </c>
      <c r="O86" s="10">
        <v>2221.7452193599997</v>
      </c>
      <c r="P86" s="32" t="s">
        <v>69</v>
      </c>
      <c r="Q86" s="10">
        <v>1249.4398003699998</v>
      </c>
      <c r="R86" s="10">
        <v>927.74386382</v>
      </c>
      <c r="S86" s="10">
        <v>12377.220514560002</v>
      </c>
      <c r="T86" s="10">
        <v>7743.7648247800007</v>
      </c>
      <c r="U86" s="10">
        <v>152.96662742000001</v>
      </c>
      <c r="V86" s="10">
        <v>3.7992000000000001E-4</v>
      </c>
      <c r="W86" s="10">
        <v>19.465078590000001</v>
      </c>
      <c r="X86" s="10">
        <v>1839.8665389</v>
      </c>
      <c r="Y86" s="10">
        <v>108.20563365</v>
      </c>
      <c r="Z86" s="10">
        <v>96570.1</v>
      </c>
      <c r="AA86" s="10">
        <v>19768.152702009997</v>
      </c>
      <c r="AB86" s="10">
        <v>11175.30572807</v>
      </c>
      <c r="AC86" s="10">
        <v>2323.3020713099995</v>
      </c>
      <c r="AD86" s="10">
        <v>80.499705849999998</v>
      </c>
      <c r="AE86" s="10">
        <v>647.16952068000012</v>
      </c>
    </row>
    <row r="87" spans="1:31" ht="15.75" x14ac:dyDescent="0.25">
      <c r="A87" t="s">
        <v>148</v>
      </c>
      <c r="B87" s="10">
        <v>104898.13954616</v>
      </c>
      <c r="C87" s="10">
        <v>4395.8828870999996</v>
      </c>
      <c r="D87" s="10">
        <v>72815.003515880002</v>
      </c>
      <c r="E87" s="10">
        <v>28443.923830500004</v>
      </c>
      <c r="F87" s="10">
        <v>675.11917836999987</v>
      </c>
      <c r="G87" s="10">
        <v>23593.872863950004</v>
      </c>
      <c r="H87" s="10">
        <v>4568.6594807299989</v>
      </c>
      <c r="I87" s="10">
        <v>2553.0118035400001</v>
      </c>
      <c r="J87" s="10">
        <v>699.96061137000015</v>
      </c>
      <c r="K87" s="10">
        <v>1168.7</v>
      </c>
      <c r="L87" s="10">
        <v>4300</v>
      </c>
      <c r="M87" s="10" t="s">
        <v>69</v>
      </c>
      <c r="N87" s="10">
        <v>25346.322613280005</v>
      </c>
      <c r="O87" s="10">
        <v>8016.5997584600009</v>
      </c>
      <c r="P87" s="10" t="s">
        <v>69</v>
      </c>
      <c r="Q87" s="10">
        <v>1359.8761484900001</v>
      </c>
      <c r="R87" s="10">
        <v>1057.5495470699998</v>
      </c>
      <c r="S87" s="10">
        <v>27653.762776899999</v>
      </c>
      <c r="T87" s="10">
        <v>7836.1567226999996</v>
      </c>
      <c r="U87" s="10">
        <v>155.60365234</v>
      </c>
      <c r="V87" s="10">
        <v>1.1033399999999997E-3</v>
      </c>
      <c r="W87" s="10">
        <v>5.2212219400000004</v>
      </c>
      <c r="X87" s="10">
        <v>2030.1780338499998</v>
      </c>
      <c r="Y87" s="10">
        <v>147.46343095</v>
      </c>
      <c r="Z87" s="10">
        <v>90865</v>
      </c>
      <c r="AA87" s="10">
        <v>18314.656519059998</v>
      </c>
      <c r="AB87" s="10">
        <v>10733.225494730001</v>
      </c>
      <c r="AC87" s="10">
        <v>2562.5422800999995</v>
      </c>
      <c r="AD87" s="10">
        <v>85.668496689999984</v>
      </c>
      <c r="AE87" s="10">
        <v>783.02577774999702</v>
      </c>
    </row>
    <row r="88" spans="1:31" ht="15.75" x14ac:dyDescent="0.25">
      <c r="A88" t="s">
        <v>149</v>
      </c>
      <c r="B88" s="10">
        <v>91151.642762989999</v>
      </c>
      <c r="C88" s="10">
        <v>4805.8293375899993</v>
      </c>
      <c r="D88" s="10">
        <v>82085.135478080003</v>
      </c>
      <c r="E88" s="10">
        <v>32801.172303979998</v>
      </c>
      <c r="F88" s="10">
        <v>624.03501340999992</v>
      </c>
      <c r="G88" s="10">
        <v>25756.053671360001</v>
      </c>
      <c r="H88" s="10">
        <v>4796.9445676999994</v>
      </c>
      <c r="I88" s="10">
        <v>2879.6371715000005</v>
      </c>
      <c r="J88" s="10">
        <v>749.94955188999995</v>
      </c>
      <c r="K88" s="10">
        <v>821</v>
      </c>
      <c r="L88" s="10">
        <v>2376</v>
      </c>
      <c r="M88" s="10" t="s">
        <v>69</v>
      </c>
      <c r="N88" s="10">
        <v>23259.01861345</v>
      </c>
      <c r="O88" s="10">
        <v>3868.3086749999993</v>
      </c>
      <c r="P88" s="10" t="s">
        <v>69</v>
      </c>
      <c r="Q88" s="10">
        <v>1492.4689694200001</v>
      </c>
      <c r="R88" s="10">
        <v>1276.30022199</v>
      </c>
      <c r="S88" s="10">
        <v>22064.665575570001</v>
      </c>
      <c r="T88" s="10">
        <v>9298.1419551799991</v>
      </c>
      <c r="U88" s="10">
        <v>187.30134838000001</v>
      </c>
      <c r="V88" s="10">
        <v>7.50551E-3</v>
      </c>
      <c r="W88" s="10">
        <v>2.8314525599999998</v>
      </c>
      <c r="X88" s="10">
        <v>2388.8495208900003</v>
      </c>
      <c r="Y88" s="10">
        <v>128.36894133000001</v>
      </c>
      <c r="Z88" s="10">
        <v>112415.4</v>
      </c>
      <c r="AA88" s="10">
        <v>22772.17882329</v>
      </c>
      <c r="AB88" s="10">
        <v>13383.888080030001</v>
      </c>
      <c r="AC88" s="10">
        <v>3020.9728673099999</v>
      </c>
      <c r="AD88" s="10">
        <v>84.062866700000001</v>
      </c>
      <c r="AE88" s="10">
        <v>253.82699821999893</v>
      </c>
    </row>
    <row r="89" spans="1:31" ht="15.75" x14ac:dyDescent="0.25">
      <c r="A89" t="s">
        <v>150</v>
      </c>
      <c r="B89" s="10">
        <v>99170.922397679999</v>
      </c>
      <c r="C89" s="10">
        <v>5061.7051512500002</v>
      </c>
      <c r="D89" s="10">
        <v>88201.983668290006</v>
      </c>
      <c r="E89" s="10">
        <v>34181.682348200004</v>
      </c>
      <c r="F89" s="10">
        <v>676.30336505000002</v>
      </c>
      <c r="G89" s="10">
        <v>27489.219626389997</v>
      </c>
      <c r="H89" s="10">
        <v>5714.7964144999996</v>
      </c>
      <c r="I89" s="10">
        <v>3445.8239124400006</v>
      </c>
      <c r="J89" s="10">
        <v>884.71916979999992</v>
      </c>
      <c r="K89" s="10">
        <v>1927.3</v>
      </c>
      <c r="L89" s="10">
        <v>1552</v>
      </c>
      <c r="M89" s="10" t="s">
        <v>69</v>
      </c>
      <c r="N89" s="10">
        <v>23188.381479349999</v>
      </c>
      <c r="O89" s="10">
        <v>4103.7582857500001</v>
      </c>
      <c r="P89" s="10" t="s">
        <v>69</v>
      </c>
      <c r="Q89" s="10">
        <v>1522.3407825100001</v>
      </c>
      <c r="R89" s="10">
        <v>1338.73040386</v>
      </c>
      <c r="S89" s="10">
        <v>13843.601013509999</v>
      </c>
      <c r="T89" s="10">
        <v>9943.608324320001</v>
      </c>
      <c r="U89" s="10">
        <v>194.77283076999998</v>
      </c>
      <c r="V89" s="10">
        <v>1.4320290899999999</v>
      </c>
      <c r="W89" s="10">
        <v>7.6771710400000011</v>
      </c>
      <c r="X89" s="10">
        <v>2498.2556490399998</v>
      </c>
      <c r="Y89" s="10">
        <v>152.80185573999998</v>
      </c>
      <c r="Z89" s="10">
        <v>103695.2</v>
      </c>
      <c r="AA89" s="10">
        <v>20897.634320910001</v>
      </c>
      <c r="AB89" s="10">
        <v>12482.387525230002</v>
      </c>
      <c r="AC89" s="10">
        <v>3182.77170854</v>
      </c>
      <c r="AD89" s="10">
        <v>78.331414780000017</v>
      </c>
      <c r="AE89" s="10">
        <v>-377.78362441000206</v>
      </c>
    </row>
    <row r="90" spans="1:31" ht="15.75" x14ac:dyDescent="0.25">
      <c r="A90" t="s">
        <v>151</v>
      </c>
      <c r="B90" s="10">
        <v>88795.215483280001</v>
      </c>
      <c r="C90" s="10">
        <v>6682.6000159300002</v>
      </c>
      <c r="D90" s="10">
        <v>90415.271536100001</v>
      </c>
      <c r="E90" s="10">
        <v>43065.536854530001</v>
      </c>
      <c r="F90" s="10">
        <v>618.55138136999994</v>
      </c>
      <c r="G90" s="10">
        <v>28252.861012339999</v>
      </c>
      <c r="H90" s="10">
        <v>5584.6796532699991</v>
      </c>
      <c r="I90" s="10">
        <v>3562.4973199699998</v>
      </c>
      <c r="J90" s="10">
        <v>865.24558410000009</v>
      </c>
      <c r="K90" s="10">
        <v>312</v>
      </c>
      <c r="L90" s="10">
        <v>2871</v>
      </c>
      <c r="M90" s="10" t="s">
        <v>69</v>
      </c>
      <c r="N90" s="10">
        <v>18496.480893379998</v>
      </c>
      <c r="O90" s="10">
        <v>2241.77858616</v>
      </c>
      <c r="P90" s="10" t="s">
        <v>69</v>
      </c>
      <c r="Q90" s="10">
        <v>1578.7519748300001</v>
      </c>
      <c r="R90" s="10">
        <v>1278.1217345499999</v>
      </c>
      <c r="S90" s="10">
        <v>14973.031541890001</v>
      </c>
      <c r="T90" s="10">
        <v>12295.47758264</v>
      </c>
      <c r="U90" s="10">
        <v>241.95360314000004</v>
      </c>
      <c r="V90" s="10">
        <v>0.27443789000000002</v>
      </c>
      <c r="W90" s="10">
        <v>6.3094005299999996</v>
      </c>
      <c r="X90" s="10">
        <v>3165.1324846800003</v>
      </c>
      <c r="Y90" s="10">
        <v>152.44956897999998</v>
      </c>
      <c r="Z90" s="10">
        <v>123273.20000000001</v>
      </c>
      <c r="AA90" s="10">
        <v>26312.935267119996</v>
      </c>
      <c r="AB90" s="10">
        <v>15321.03424554</v>
      </c>
      <c r="AC90" s="10">
        <v>2881.80825826</v>
      </c>
      <c r="AD90" s="10">
        <v>85.415739280000011</v>
      </c>
      <c r="AE90" s="10">
        <v>2009.5717175199998</v>
      </c>
    </row>
    <row r="91" spans="1:31" ht="15.75" x14ac:dyDescent="0.25">
      <c r="A91" t="s">
        <v>152</v>
      </c>
      <c r="B91" s="10">
        <v>108715.77536331001</v>
      </c>
      <c r="C91" s="10">
        <v>7760.7519611700009</v>
      </c>
      <c r="D91" s="10">
        <v>97391.794893330007</v>
      </c>
      <c r="E91" s="10">
        <v>44851.781627460005</v>
      </c>
      <c r="F91" s="10">
        <v>783.15559581000014</v>
      </c>
      <c r="G91" s="10">
        <v>31878.524101379997</v>
      </c>
      <c r="H91" s="10">
        <v>6744.6014273599994</v>
      </c>
      <c r="I91" s="10">
        <v>2896.6489177200001</v>
      </c>
      <c r="J91" s="10">
        <v>919.35142412000005</v>
      </c>
      <c r="K91" s="10">
        <v>766</v>
      </c>
      <c r="L91" s="10">
        <v>5387</v>
      </c>
      <c r="M91" s="10" t="s">
        <v>69</v>
      </c>
      <c r="N91" s="10">
        <v>29337.723433519997</v>
      </c>
      <c r="O91" s="10">
        <v>9955.3428955000018</v>
      </c>
      <c r="P91" s="10" t="s">
        <v>69</v>
      </c>
      <c r="Q91" s="10">
        <v>1656.0331598500002</v>
      </c>
      <c r="R91" s="10">
        <v>1484.8186134600003</v>
      </c>
      <c r="S91" s="10">
        <v>25610.361056729998</v>
      </c>
      <c r="T91" s="10">
        <v>13747.577211430002</v>
      </c>
      <c r="U91" s="10">
        <v>261.71641968</v>
      </c>
      <c r="V91" s="10">
        <v>0.13223734000000001</v>
      </c>
      <c r="W91" s="10">
        <v>4.6813819400000005</v>
      </c>
      <c r="X91" s="10">
        <v>3402.3845196999991</v>
      </c>
      <c r="Y91" s="10">
        <v>179.68913551</v>
      </c>
      <c r="Z91" s="10">
        <v>126812.3</v>
      </c>
      <c r="AA91" s="10">
        <v>24432.180437119998</v>
      </c>
      <c r="AB91" s="10">
        <v>14442.869363420003</v>
      </c>
      <c r="AC91" s="10">
        <v>3397.6801870400004</v>
      </c>
      <c r="AD91" s="10">
        <v>100.79752988999999</v>
      </c>
      <c r="AE91" s="10">
        <v>2073.2941831700027</v>
      </c>
    </row>
    <row r="92" spans="1:31" ht="15.75" x14ac:dyDescent="0.25">
      <c r="A92" t="s">
        <v>153</v>
      </c>
      <c r="B92" s="10">
        <v>98005.403026829998</v>
      </c>
      <c r="C92" s="10">
        <v>7321.0190660600001</v>
      </c>
      <c r="D92" s="10">
        <v>106364.45579076</v>
      </c>
      <c r="E92" s="10">
        <v>47472.415161700002</v>
      </c>
      <c r="F92" s="10">
        <v>1005.48728285</v>
      </c>
      <c r="G92" s="10">
        <v>34881.177171119998</v>
      </c>
      <c r="H92" s="10">
        <v>9470.9486395900003</v>
      </c>
      <c r="I92" s="10">
        <v>3779.3062689099997</v>
      </c>
      <c r="J92" s="10">
        <v>1154.0676650600001</v>
      </c>
      <c r="K92" s="10">
        <v>1482</v>
      </c>
      <c r="L92" s="10">
        <v>3342</v>
      </c>
      <c r="M92" s="10" t="s">
        <v>69</v>
      </c>
      <c r="N92" s="10">
        <v>35610.01582452</v>
      </c>
      <c r="O92" s="10">
        <v>3970.1795759199999</v>
      </c>
      <c r="P92" s="10" t="s">
        <v>69</v>
      </c>
      <c r="Q92" s="10">
        <v>1790.6269326000001</v>
      </c>
      <c r="R92" s="10">
        <v>2262.3055129700001</v>
      </c>
      <c r="S92" s="10">
        <v>17260.703805369998</v>
      </c>
      <c r="T92" s="10">
        <v>14932.404779150002</v>
      </c>
      <c r="U92" s="10">
        <v>278.46114538999996</v>
      </c>
      <c r="V92" s="10">
        <v>0.24523576999999999</v>
      </c>
      <c r="W92" s="10">
        <v>11.3876472</v>
      </c>
      <c r="X92" s="10">
        <v>3616.5528158100005</v>
      </c>
      <c r="Y92" s="10">
        <v>195.09774606000002</v>
      </c>
      <c r="Z92" s="10">
        <v>146815.09999999998</v>
      </c>
      <c r="AA92" s="10">
        <v>29945.14516303</v>
      </c>
      <c r="AB92" s="10">
        <v>17441.758396720001</v>
      </c>
      <c r="AC92" s="10">
        <v>3867.8040626699994</v>
      </c>
      <c r="AD92" s="10">
        <v>135.07575688</v>
      </c>
      <c r="AE92" s="10">
        <v>189.79518781000058</v>
      </c>
    </row>
    <row r="93" spans="1:31" ht="15.75" x14ac:dyDescent="0.25">
      <c r="A93" t="s">
        <v>154</v>
      </c>
      <c r="B93" s="10">
        <v>108833.57411536</v>
      </c>
      <c r="C93" s="10">
        <v>6792.8150022399996</v>
      </c>
      <c r="D93" s="10">
        <v>111948.30394966</v>
      </c>
      <c r="E93" s="10">
        <v>47639.376532130002</v>
      </c>
      <c r="F93" s="10">
        <v>839.13777736999987</v>
      </c>
      <c r="G93" s="10">
        <v>36656.516697750005</v>
      </c>
      <c r="H93" s="10">
        <v>10855.188603630002</v>
      </c>
      <c r="I93" s="10">
        <v>4097.5694945200003</v>
      </c>
      <c r="J93" s="10">
        <v>1299.1789812799998</v>
      </c>
      <c r="K93" s="10">
        <v>3372</v>
      </c>
      <c r="L93" s="10">
        <v>3383</v>
      </c>
      <c r="M93" s="10" t="s">
        <v>69</v>
      </c>
      <c r="N93" s="10">
        <v>35760.267593329998</v>
      </c>
      <c r="O93" s="10">
        <v>3373.4230748099999</v>
      </c>
      <c r="P93" s="10" t="s">
        <v>69</v>
      </c>
      <c r="Q93" s="10">
        <v>1847.6256937799997</v>
      </c>
      <c r="R93" s="10">
        <v>108290.23531121999</v>
      </c>
      <c r="S93" s="10">
        <v>13665.03077856</v>
      </c>
      <c r="T93" s="10">
        <v>14329.673963130001</v>
      </c>
      <c r="U93" s="10">
        <v>277.38431754999999</v>
      </c>
      <c r="V93" s="10">
        <v>0.22252887999999998</v>
      </c>
      <c r="W93" s="10">
        <v>16.111900599999998</v>
      </c>
      <c r="X93" s="10">
        <v>3663.0098945899999</v>
      </c>
      <c r="Y93" s="10">
        <v>175.88424091000002</v>
      </c>
      <c r="Z93" s="10">
        <v>140077.6</v>
      </c>
      <c r="AA93" s="10">
        <v>27975.480790809997</v>
      </c>
      <c r="AB93" s="10">
        <v>16605.240825180001</v>
      </c>
      <c r="AC93" s="10">
        <v>3892.5094010800003</v>
      </c>
      <c r="AD93" s="10">
        <v>137.34693403000003</v>
      </c>
      <c r="AE93" s="10">
        <v>-320.85836713999834</v>
      </c>
    </row>
    <row r="94" spans="1:31" ht="15.75" x14ac:dyDescent="0.25">
      <c r="A94" t="s">
        <v>155</v>
      </c>
      <c r="B94" s="10">
        <v>105004.03608928001</v>
      </c>
      <c r="C94" s="10">
        <v>6788.3373591899999</v>
      </c>
      <c r="D94" s="10">
        <v>120939.78596261</v>
      </c>
      <c r="E94" s="10">
        <v>49969.723377189999</v>
      </c>
      <c r="F94" s="10">
        <v>648.81300573999999</v>
      </c>
      <c r="G94" s="10">
        <v>38139.789837299999</v>
      </c>
      <c r="H94" s="10">
        <v>11426.131035560002</v>
      </c>
      <c r="I94" s="10">
        <v>4745.9237004900006</v>
      </c>
      <c r="J94" s="10">
        <v>1369.3732093499998</v>
      </c>
      <c r="K94" s="10">
        <v>5836</v>
      </c>
      <c r="L94" s="10">
        <v>4253.0965089800002</v>
      </c>
      <c r="M94" s="10" t="s">
        <v>69</v>
      </c>
      <c r="N94" s="10">
        <v>25940.526342359997</v>
      </c>
      <c r="O94" s="10">
        <v>2155.2592205700003</v>
      </c>
      <c r="P94" s="10" t="s">
        <v>69</v>
      </c>
      <c r="Q94" s="10">
        <v>2198.9920568799998</v>
      </c>
      <c r="R94" s="10">
        <v>39007.988130520003</v>
      </c>
      <c r="S94" s="10">
        <v>13312.60875533</v>
      </c>
      <c r="T94" s="10">
        <v>14654.450255300002</v>
      </c>
      <c r="U94" s="10">
        <v>278.78690869000002</v>
      </c>
      <c r="V94" s="10">
        <v>1.0576469999999999E-2</v>
      </c>
      <c r="W94" s="10">
        <v>0.5109960400000001</v>
      </c>
      <c r="X94" s="10">
        <v>3785.5460100999999</v>
      </c>
      <c r="Y94" s="10">
        <v>166.42448322000001</v>
      </c>
      <c r="Z94" s="10">
        <v>169119.8</v>
      </c>
      <c r="AA94" s="10">
        <v>35029.559428640001</v>
      </c>
      <c r="AB94" s="10">
        <v>20425.56198404</v>
      </c>
      <c r="AC94" s="10">
        <v>4599.80051129</v>
      </c>
      <c r="AD94" s="10">
        <v>135.80101449999998</v>
      </c>
      <c r="AE94" s="10">
        <v>8831.7678810300004</v>
      </c>
    </row>
    <row r="95" spans="1:31" ht="15.75" x14ac:dyDescent="0.25">
      <c r="A95" t="s">
        <v>156</v>
      </c>
      <c r="B95" s="10">
        <v>135491.55510877</v>
      </c>
      <c r="C95" s="10">
        <v>8509.4840190100003</v>
      </c>
      <c r="D95" s="10">
        <v>129234.04274571</v>
      </c>
      <c r="E95" s="10">
        <v>56209.62971713001</v>
      </c>
      <c r="F95" s="10">
        <v>1154.4221858799999</v>
      </c>
      <c r="G95" s="10">
        <v>40400.308881690005</v>
      </c>
      <c r="H95" s="10">
        <v>11019.982478530001</v>
      </c>
      <c r="I95" s="10">
        <v>4911.1126665499996</v>
      </c>
      <c r="J95" s="10">
        <v>1366.6527764099999</v>
      </c>
      <c r="K95" s="10">
        <v>3500</v>
      </c>
      <c r="L95" s="10">
        <v>6300</v>
      </c>
      <c r="M95" s="10" t="s">
        <v>69</v>
      </c>
      <c r="N95" s="10">
        <v>46308.963512919989</v>
      </c>
      <c r="O95" s="10">
        <v>6539.5410207499999</v>
      </c>
      <c r="P95" s="10" t="s">
        <v>69</v>
      </c>
      <c r="Q95" s="10">
        <v>2449.0185286599999</v>
      </c>
      <c r="R95" s="10">
        <v>6809.3782358999988</v>
      </c>
      <c r="S95" s="10">
        <v>21312.244113519999</v>
      </c>
      <c r="T95" s="10">
        <v>15576.517858670002</v>
      </c>
      <c r="U95" s="10">
        <v>311.17587157000003</v>
      </c>
      <c r="V95" s="10">
        <v>1.033398E-2</v>
      </c>
      <c r="W95" s="10">
        <v>0.9467715499999998</v>
      </c>
      <c r="X95" s="10">
        <v>4543.4821319599996</v>
      </c>
      <c r="Y95" s="10">
        <v>212.01476234</v>
      </c>
      <c r="Z95" s="10">
        <v>163744.9</v>
      </c>
      <c r="AA95" s="10">
        <v>32148.052105119998</v>
      </c>
      <c r="AB95" s="10">
        <v>18333.744803130001</v>
      </c>
      <c r="AC95" s="10">
        <v>5120.3990152599999</v>
      </c>
      <c r="AD95" s="10">
        <v>180.71897698000001</v>
      </c>
      <c r="AE95" s="10">
        <v>-4765.9896044900006</v>
      </c>
    </row>
    <row r="96" spans="1:31" ht="15.75" x14ac:dyDescent="0.25">
      <c r="A96" t="s">
        <v>157</v>
      </c>
      <c r="B96" s="10">
        <v>140175.86585296001</v>
      </c>
      <c r="C96" s="10">
        <v>9780.6891259700005</v>
      </c>
      <c r="D96" s="10">
        <v>140870.68931672</v>
      </c>
      <c r="E96" s="10">
        <v>66954.410557180003</v>
      </c>
      <c r="F96" s="10">
        <v>417.57281669999998</v>
      </c>
      <c r="G96" s="10">
        <v>46231.079506200003</v>
      </c>
      <c r="H96" s="10">
        <v>11699.770608450002</v>
      </c>
      <c r="I96" s="10">
        <v>6112.5568099299999</v>
      </c>
      <c r="J96" s="10">
        <v>1438.70999794</v>
      </c>
      <c r="K96" s="10">
        <v>5180</v>
      </c>
      <c r="L96" s="10">
        <v>7300</v>
      </c>
      <c r="M96" s="10" t="s">
        <v>69</v>
      </c>
      <c r="N96" s="10">
        <v>41171.337947519991</v>
      </c>
      <c r="O96" s="10">
        <v>7812.4112076299998</v>
      </c>
      <c r="P96" s="10" t="s">
        <v>69</v>
      </c>
      <c r="Q96" s="10">
        <v>2716.45613155</v>
      </c>
      <c r="R96" s="10">
        <v>2778.6627022900002</v>
      </c>
      <c r="S96" s="10">
        <v>19457.3888898</v>
      </c>
      <c r="T96" s="10">
        <v>19582.965199760001</v>
      </c>
      <c r="U96" s="10">
        <v>391.56770026999993</v>
      </c>
      <c r="V96" s="10">
        <v>1.127659E-2</v>
      </c>
      <c r="W96" s="10">
        <v>4.6865928699999984</v>
      </c>
      <c r="X96" s="10">
        <v>5639.0169630100008</v>
      </c>
      <c r="Y96" s="10">
        <v>180.69579854</v>
      </c>
      <c r="Z96" s="10">
        <v>188536.2</v>
      </c>
      <c r="AA96" s="10">
        <v>38898.729733070002</v>
      </c>
      <c r="AB96" s="10">
        <v>21744.27785911</v>
      </c>
      <c r="AC96" s="10">
        <v>5246.93955319</v>
      </c>
      <c r="AD96" s="10">
        <v>182.91905825000001</v>
      </c>
      <c r="AE96" s="10">
        <v>3635.5030570100021</v>
      </c>
    </row>
    <row r="97" spans="1:31" ht="15.75" x14ac:dyDescent="0.25">
      <c r="A97" t="s">
        <v>158</v>
      </c>
      <c r="B97" s="10">
        <v>139435.73617244</v>
      </c>
      <c r="C97" s="10">
        <v>9837.2688144999993</v>
      </c>
      <c r="D97" s="10">
        <v>151070.28086328</v>
      </c>
      <c r="E97" s="10">
        <v>70593.724331229998</v>
      </c>
      <c r="F97" s="10">
        <v>339.66098770000002</v>
      </c>
      <c r="G97" s="10">
        <v>48067.304017900002</v>
      </c>
      <c r="H97" s="10">
        <v>12655.405500530002</v>
      </c>
      <c r="I97" s="10">
        <v>6414.4540447000008</v>
      </c>
      <c r="J97" s="10">
        <v>1575.7439432900001</v>
      </c>
      <c r="K97" s="10">
        <v>5990</v>
      </c>
      <c r="L97" s="10">
        <v>7100</v>
      </c>
      <c r="M97" s="10" t="s">
        <v>69</v>
      </c>
      <c r="N97" s="10">
        <v>45679.303967920001</v>
      </c>
      <c r="O97" s="10">
        <v>5657.9234012500001</v>
      </c>
      <c r="P97" s="10" t="s">
        <v>69</v>
      </c>
      <c r="Q97" s="10">
        <v>3179.5782983499998</v>
      </c>
      <c r="R97" s="10">
        <v>3503.1876011699997</v>
      </c>
      <c r="S97" s="10">
        <v>12039.157357170001</v>
      </c>
      <c r="T97" s="10">
        <v>19445.19267833</v>
      </c>
      <c r="U97" s="10">
        <v>394.52944829</v>
      </c>
      <c r="V97" s="10">
        <v>1.6035319999999999E-2</v>
      </c>
      <c r="W97" s="10">
        <v>1.0782434400000001</v>
      </c>
      <c r="X97" s="10">
        <v>5769.8266702499996</v>
      </c>
      <c r="Y97" s="10">
        <v>177.27283515000002</v>
      </c>
      <c r="Z97" s="10">
        <v>182053.2</v>
      </c>
      <c r="AA97" s="10">
        <v>35926.704091910011</v>
      </c>
      <c r="AB97" s="10">
        <v>19864.746643009999</v>
      </c>
      <c r="AC97" s="10">
        <v>5125.3963333500005</v>
      </c>
      <c r="AD97" s="10">
        <v>183.29982829999997</v>
      </c>
      <c r="AE97" s="10">
        <v>-2518.2239361200022</v>
      </c>
    </row>
    <row r="98" spans="1:31" ht="15.75" x14ac:dyDescent="0.25">
      <c r="A98" t="s">
        <v>159</v>
      </c>
      <c r="B98" s="10">
        <v>132194.17298512001</v>
      </c>
      <c r="C98" s="10">
        <v>10704.788858989999</v>
      </c>
      <c r="D98" s="10">
        <v>175125.14634695998</v>
      </c>
      <c r="E98" s="10">
        <v>72967.376152050012</v>
      </c>
      <c r="F98" s="10">
        <v>307.7109615</v>
      </c>
      <c r="G98" s="10">
        <v>49561.703648000002</v>
      </c>
      <c r="H98" s="10">
        <v>12706.026346440001</v>
      </c>
      <c r="I98" s="10">
        <v>5906.7345798999995</v>
      </c>
      <c r="J98" s="10">
        <v>1585.23939823</v>
      </c>
      <c r="K98" s="10">
        <v>5450</v>
      </c>
      <c r="L98" s="10">
        <v>5000</v>
      </c>
      <c r="M98" s="10" t="s">
        <v>69</v>
      </c>
      <c r="N98" s="10">
        <v>28612.252152499997</v>
      </c>
      <c r="O98" s="10">
        <v>3102.8264936099999</v>
      </c>
      <c r="P98" s="10" t="s">
        <v>69</v>
      </c>
      <c r="Q98" s="10">
        <v>3787.0545681800004</v>
      </c>
      <c r="R98" s="10">
        <v>3350.5451965499997</v>
      </c>
      <c r="S98" s="10">
        <v>12330.88261694</v>
      </c>
      <c r="T98" s="10">
        <v>21337.748879549996</v>
      </c>
      <c r="U98" s="10">
        <v>422.40042897000001</v>
      </c>
      <c r="V98" s="10">
        <v>1.8696000000000001E-4</v>
      </c>
      <c r="W98" s="10">
        <v>1.87270208</v>
      </c>
      <c r="X98" s="10">
        <v>5939.61581234</v>
      </c>
      <c r="Y98" s="10">
        <v>198.98834159999996</v>
      </c>
      <c r="Z98" s="10">
        <v>217121.4</v>
      </c>
      <c r="AA98" s="10">
        <v>44494.309255029999</v>
      </c>
      <c r="AB98" s="10">
        <v>23413.332946340004</v>
      </c>
      <c r="AC98" s="10">
        <v>6118.0254581400004</v>
      </c>
      <c r="AD98" s="10">
        <v>183.86353729999999</v>
      </c>
      <c r="AE98" s="10">
        <v>2083.0554520100086</v>
      </c>
    </row>
    <row r="99" spans="1:31" ht="15.75" x14ac:dyDescent="0.25">
      <c r="A99" t="s">
        <v>160</v>
      </c>
      <c r="B99" s="10">
        <v>195330.16509564</v>
      </c>
      <c r="C99" s="10">
        <v>13030.2828529</v>
      </c>
      <c r="D99" s="10">
        <v>178934.45812774001</v>
      </c>
      <c r="E99" s="10">
        <v>87248.731924349995</v>
      </c>
      <c r="F99" s="10">
        <v>992.6216148000002</v>
      </c>
      <c r="G99" s="10">
        <v>54517.939753180006</v>
      </c>
      <c r="H99" s="10">
        <v>12317.581838850001</v>
      </c>
      <c r="I99" s="10">
        <v>6760.8907302799998</v>
      </c>
      <c r="J99" s="10">
        <v>1627.7088609900002</v>
      </c>
      <c r="K99" s="10">
        <v>4150</v>
      </c>
      <c r="L99" s="10">
        <v>9250</v>
      </c>
      <c r="M99" s="10" t="s">
        <v>69</v>
      </c>
      <c r="N99" s="10">
        <v>42903.766032189989</v>
      </c>
      <c r="O99" s="10">
        <v>4728.3011017600002</v>
      </c>
      <c r="P99" s="10" t="s">
        <v>69</v>
      </c>
      <c r="Q99" s="10">
        <v>3791.3211387000001</v>
      </c>
      <c r="R99" s="10">
        <v>3866.5011168399997</v>
      </c>
      <c r="S99" s="10">
        <v>30349.529688909999</v>
      </c>
      <c r="T99" s="10">
        <v>24474.074951770002</v>
      </c>
      <c r="U99" s="10">
        <v>492.74177963999989</v>
      </c>
      <c r="V99" s="10">
        <v>8.3693000000000005E-4</v>
      </c>
      <c r="W99" s="10">
        <v>1.4017080500000001</v>
      </c>
      <c r="X99" s="10">
        <v>6991.1301531299996</v>
      </c>
      <c r="Y99" s="10">
        <v>242.51008451999996</v>
      </c>
      <c r="Z99" s="10">
        <v>206401.59999999998</v>
      </c>
      <c r="AA99" s="10">
        <v>40751.096582220001</v>
      </c>
      <c r="AB99" s="10">
        <v>21343.43820506</v>
      </c>
      <c r="AC99" s="10">
        <v>6724.697415669998</v>
      </c>
      <c r="AD99" s="10">
        <v>225.62391541999995</v>
      </c>
      <c r="AE99" s="10">
        <v>-11120.933135240002</v>
      </c>
    </row>
    <row r="100" spans="1:31" ht="15.75" x14ac:dyDescent="0.25">
      <c r="A100" t="s">
        <v>161</v>
      </c>
      <c r="B100" s="10">
        <v>173108.98798595002</v>
      </c>
      <c r="C100" s="10">
        <v>14692.994605160002</v>
      </c>
      <c r="D100" s="10">
        <v>188912.95130824001</v>
      </c>
      <c r="E100" s="10">
        <v>110527.23443452999</v>
      </c>
      <c r="F100" s="10">
        <v>424.46032473999992</v>
      </c>
      <c r="G100" s="10">
        <v>61752.416053720008</v>
      </c>
      <c r="H100" s="10">
        <v>11989.788663549998</v>
      </c>
      <c r="I100" s="10">
        <v>5224.53364719</v>
      </c>
      <c r="J100" s="10">
        <v>1670.1290712800001</v>
      </c>
      <c r="K100" s="10">
        <v>6300</v>
      </c>
      <c r="L100" s="10">
        <v>11150</v>
      </c>
      <c r="M100" s="10" t="s">
        <v>69</v>
      </c>
      <c r="N100" s="10">
        <v>45951.516893399996</v>
      </c>
      <c r="O100" s="10">
        <v>3752.8634256400001</v>
      </c>
      <c r="P100" s="10" t="s">
        <v>69</v>
      </c>
      <c r="Q100" s="10">
        <v>4221.7249520600008</v>
      </c>
      <c r="R100" s="10">
        <v>3869.2618456499995</v>
      </c>
      <c r="S100" s="10">
        <v>26920.105109</v>
      </c>
      <c r="T100" s="10">
        <v>30802.265756749999</v>
      </c>
      <c r="U100" s="10">
        <v>639.2595114799999</v>
      </c>
      <c r="V100" s="10">
        <v>2.0299000000000001E-4</v>
      </c>
      <c r="W100" s="10">
        <v>0.96645972000000002</v>
      </c>
      <c r="X100" s="10">
        <v>8307.3954444799983</v>
      </c>
      <c r="Y100" s="10">
        <v>287.51842518000001</v>
      </c>
      <c r="Z100" s="10">
        <v>230101.59999999998</v>
      </c>
      <c r="AA100" s="10">
        <v>48468.164056050002</v>
      </c>
      <c r="AB100" s="10">
        <v>24773.439474180002</v>
      </c>
      <c r="AC100" s="10">
        <v>6801.0983413799986</v>
      </c>
      <c r="AD100" s="10">
        <v>226.02979403000001</v>
      </c>
      <c r="AE100" s="10">
        <v>223.55747780000252</v>
      </c>
    </row>
    <row r="101" spans="1:31" ht="15.75" x14ac:dyDescent="0.25">
      <c r="A101" t="s">
        <v>162</v>
      </c>
      <c r="B101" s="10">
        <v>188867.01415913997</v>
      </c>
      <c r="C101" s="10">
        <v>14123.979198899999</v>
      </c>
      <c r="D101" s="10">
        <v>224746.71906207001</v>
      </c>
      <c r="E101" s="10">
        <v>89517.672418160015</v>
      </c>
      <c r="F101" s="10">
        <v>329.97564389999997</v>
      </c>
      <c r="G101" s="10">
        <v>68467.875519880006</v>
      </c>
      <c r="H101" s="10">
        <v>14333.783846049999</v>
      </c>
      <c r="I101" s="10">
        <v>6084.4853754999995</v>
      </c>
      <c r="J101" s="10">
        <v>1930.5041834599999</v>
      </c>
      <c r="K101" s="10">
        <v>7500</v>
      </c>
      <c r="L101" s="10">
        <v>9200</v>
      </c>
      <c r="M101" s="10" t="s">
        <v>69</v>
      </c>
      <c r="N101" s="10">
        <v>47541.47279842</v>
      </c>
      <c r="O101" s="10">
        <v>2933.1627906499998</v>
      </c>
      <c r="P101" s="10" t="s">
        <v>69</v>
      </c>
      <c r="Q101" s="10">
        <v>4252.2071300799998</v>
      </c>
      <c r="R101" s="10">
        <v>3929.1416872300006</v>
      </c>
      <c r="S101" s="10">
        <v>44559.839477679998</v>
      </c>
      <c r="T101" s="10">
        <v>28376.66087919</v>
      </c>
      <c r="U101" s="10">
        <v>632.91017037999995</v>
      </c>
      <c r="V101" s="10">
        <v>2.7323000000000001E-4</v>
      </c>
      <c r="W101" s="10">
        <v>1.3703607499999992</v>
      </c>
      <c r="X101" s="10">
        <v>7496.9256941700005</v>
      </c>
      <c r="Y101" s="10">
        <v>296.35971546000002</v>
      </c>
      <c r="Z101" s="10">
        <v>225430.3</v>
      </c>
      <c r="AA101" s="10">
        <v>45570.491559880007</v>
      </c>
      <c r="AB101" s="10">
        <v>23327.185221060001</v>
      </c>
      <c r="AC101" s="10">
        <v>6744.6203521199986</v>
      </c>
      <c r="AD101" s="10">
        <v>226.08928060999997</v>
      </c>
      <c r="AE101" s="10">
        <v>153.97630683000142</v>
      </c>
    </row>
    <row r="102" spans="1:31" ht="15.75" x14ac:dyDescent="0.25">
      <c r="A102" t="s">
        <v>163</v>
      </c>
      <c r="B102" s="10">
        <v>188052.13350472998</v>
      </c>
      <c r="C102" s="10">
        <v>13379.01440353</v>
      </c>
      <c r="D102" s="10">
        <v>253948.06848525003</v>
      </c>
      <c r="E102" s="10">
        <v>78023.093547290002</v>
      </c>
      <c r="F102" s="10">
        <v>173.86025018000004</v>
      </c>
      <c r="G102" s="10">
        <v>71516.847542250005</v>
      </c>
      <c r="H102" s="10">
        <v>16177.25675843</v>
      </c>
      <c r="I102" s="10">
        <v>5086.1215428399992</v>
      </c>
      <c r="J102" s="10">
        <v>2052.1109718900002</v>
      </c>
      <c r="K102" s="10">
        <v>5050</v>
      </c>
      <c r="L102" s="10">
        <v>5620</v>
      </c>
      <c r="M102" s="10" t="s">
        <v>69</v>
      </c>
      <c r="N102" s="10">
        <v>44666.013882079998</v>
      </c>
      <c r="O102" s="10">
        <v>1931.8301988100002</v>
      </c>
      <c r="P102" s="10" t="s">
        <v>69</v>
      </c>
      <c r="Q102" s="10">
        <v>4915.7662805200016</v>
      </c>
      <c r="R102" s="10">
        <v>3593.61997746</v>
      </c>
      <c r="S102" s="10">
        <v>51331.361924910001</v>
      </c>
      <c r="T102" s="10">
        <v>26403.347881540005</v>
      </c>
      <c r="U102" s="10">
        <v>588.32063665999999</v>
      </c>
      <c r="V102" s="10">
        <v>0.48676340000000007</v>
      </c>
      <c r="W102" s="10">
        <v>2.0774889000000005</v>
      </c>
      <c r="X102" s="10">
        <v>6965.2555658399988</v>
      </c>
      <c r="Y102" s="10">
        <v>282.55867049999995</v>
      </c>
      <c r="Z102" s="10">
        <v>279907.5</v>
      </c>
      <c r="AA102" s="10">
        <v>58484.923065909999</v>
      </c>
      <c r="AB102" s="10">
        <v>29167.74385065</v>
      </c>
      <c r="AC102" s="10">
        <v>8394.8893488499998</v>
      </c>
      <c r="AD102" s="10">
        <v>225.64839445000001</v>
      </c>
      <c r="AE102" s="10">
        <v>3571.5057628699979</v>
      </c>
    </row>
    <row r="103" spans="1:31" ht="15.75" x14ac:dyDescent="0.25">
      <c r="A103" t="s">
        <v>164</v>
      </c>
      <c r="B103" s="10">
        <v>321713.89453563001</v>
      </c>
      <c r="C103" s="10">
        <v>16979.02006508</v>
      </c>
      <c r="D103" s="10">
        <v>266494.42366094003</v>
      </c>
      <c r="E103" s="10">
        <v>115386.86529309</v>
      </c>
      <c r="F103" s="10">
        <v>1154.9078641399999</v>
      </c>
      <c r="G103" s="10">
        <v>79722.098475959996</v>
      </c>
      <c r="H103" s="10">
        <v>16385.679349620001</v>
      </c>
      <c r="I103" s="10">
        <v>4228.7503371700004</v>
      </c>
      <c r="J103" s="10">
        <v>2123.53573895</v>
      </c>
      <c r="K103" s="10">
        <v>11100</v>
      </c>
      <c r="L103" s="10">
        <v>10400</v>
      </c>
      <c r="M103" s="10" t="s">
        <v>69</v>
      </c>
      <c r="N103" s="10">
        <v>48830.31314554</v>
      </c>
      <c r="O103" s="10">
        <v>8093.5632808400005</v>
      </c>
      <c r="P103" s="10" t="s">
        <v>69</v>
      </c>
      <c r="Q103" s="10">
        <v>5069.1273236100005</v>
      </c>
      <c r="R103" s="10">
        <v>4406.5157705399997</v>
      </c>
      <c r="S103" s="10">
        <v>90468.388139369999</v>
      </c>
      <c r="T103" s="10">
        <v>29513.605513380004</v>
      </c>
      <c r="U103" s="10">
        <v>6433.8718780500003</v>
      </c>
      <c r="V103" s="10">
        <v>3.419556E-2</v>
      </c>
      <c r="W103" s="10">
        <v>5.56465035</v>
      </c>
      <c r="X103" s="10">
        <v>8766.1627775900015</v>
      </c>
      <c r="Y103" s="10">
        <v>260.82689188999996</v>
      </c>
      <c r="Z103" s="10">
        <v>274580.59999999998</v>
      </c>
      <c r="AA103" s="10">
        <v>56097.315270469997</v>
      </c>
      <c r="AB103" s="10">
        <v>27730.370879549999</v>
      </c>
      <c r="AC103" s="10">
        <v>8376.732683709999</v>
      </c>
      <c r="AD103" s="10">
        <v>275.43909467999998</v>
      </c>
      <c r="AE103" s="10">
        <v>1070.7378858200188</v>
      </c>
    </row>
    <row r="104" spans="1:31" ht="15.75" x14ac:dyDescent="0.25">
      <c r="A104" t="s">
        <v>165</v>
      </c>
      <c r="B104" s="10">
        <v>265122.06247389002</v>
      </c>
      <c r="C104" s="10">
        <v>20255.218995539999</v>
      </c>
      <c r="D104" s="10">
        <v>276239.10719710001</v>
      </c>
      <c r="E104" s="10">
        <v>147189.92970375001</v>
      </c>
      <c r="F104" s="10">
        <v>302.89549850000003</v>
      </c>
      <c r="G104" s="10">
        <v>92685.083484939998</v>
      </c>
      <c r="H104" s="10">
        <v>16913.917780870004</v>
      </c>
      <c r="I104" s="10">
        <v>5204.7571528700009</v>
      </c>
      <c r="J104" s="10">
        <v>2331.0483959600001</v>
      </c>
      <c r="K104" s="10">
        <v>11850</v>
      </c>
      <c r="L104" s="10">
        <v>5550</v>
      </c>
      <c r="M104" s="10" t="s">
        <v>69</v>
      </c>
      <c r="N104" s="10">
        <v>64458.561507059996</v>
      </c>
      <c r="O104" s="10">
        <v>8927.5498531000012</v>
      </c>
      <c r="P104" s="10" t="s">
        <v>69</v>
      </c>
      <c r="Q104" s="10">
        <v>4909.3717926400004</v>
      </c>
      <c r="R104" s="10">
        <v>4834.5063713300005</v>
      </c>
      <c r="S104" s="10">
        <v>100857.7039773</v>
      </c>
      <c r="T104" s="10">
        <v>37104.544887089993</v>
      </c>
      <c r="U104" s="10">
        <v>11767.842268</v>
      </c>
      <c r="V104" s="10">
        <v>1.1459618999999999</v>
      </c>
      <c r="W104" s="10">
        <v>10.524830959999999</v>
      </c>
      <c r="X104" s="10">
        <v>10209.85999947</v>
      </c>
      <c r="Y104" s="10">
        <v>369.15740146999997</v>
      </c>
      <c r="Z104" s="10">
        <v>310220.10000000003</v>
      </c>
      <c r="AA104" s="10">
        <v>69136.621295439996</v>
      </c>
      <c r="AB104" s="10">
        <v>33927.744593169999</v>
      </c>
      <c r="AC104" s="10">
        <v>8969.3799675699993</v>
      </c>
      <c r="AD104" s="10">
        <v>282.51236511000002</v>
      </c>
      <c r="AE104" s="10">
        <v>491.56560748999743</v>
      </c>
    </row>
    <row r="105" spans="1:31" ht="15.75" x14ac:dyDescent="0.25">
      <c r="A105" t="s">
        <v>166</v>
      </c>
      <c r="B105" s="10">
        <v>250939.70717508002</v>
      </c>
      <c r="C105" s="10">
        <v>20080.190815350001</v>
      </c>
      <c r="D105" s="10">
        <v>300518.76805220998</v>
      </c>
      <c r="E105" s="10">
        <v>140495.88091708999</v>
      </c>
      <c r="F105" s="10">
        <v>1084.0296022300004</v>
      </c>
      <c r="G105" s="10">
        <v>105635.12892682001</v>
      </c>
      <c r="H105" s="10">
        <v>20093.962071419999</v>
      </c>
      <c r="I105" s="10">
        <v>11741.85347604</v>
      </c>
      <c r="J105" s="10">
        <v>2896.8571995599996</v>
      </c>
      <c r="K105" s="10">
        <v>17700</v>
      </c>
      <c r="L105" s="10">
        <v>7700</v>
      </c>
      <c r="M105" s="10" t="s">
        <v>69</v>
      </c>
      <c r="N105" s="10">
        <v>76864.688049260003</v>
      </c>
      <c r="O105" s="10">
        <v>12230.7909882</v>
      </c>
      <c r="P105" s="10" t="s">
        <v>69</v>
      </c>
      <c r="Q105" s="10">
        <v>5740.6632313599994</v>
      </c>
      <c r="R105" s="10">
        <v>5191.7517147199997</v>
      </c>
      <c r="S105" s="10">
        <v>155654.37953532001</v>
      </c>
      <c r="T105" s="10">
        <v>39383.613122260002</v>
      </c>
      <c r="U105" s="10">
        <v>11880.495019030001</v>
      </c>
      <c r="V105" s="10">
        <v>1.9376999999999998E-4</v>
      </c>
      <c r="W105" s="10">
        <v>12.184987849999999</v>
      </c>
      <c r="X105" s="10">
        <v>10427.905033440002</v>
      </c>
      <c r="Y105" s="10">
        <v>340.57673324999996</v>
      </c>
      <c r="Z105" s="10">
        <v>312823.5</v>
      </c>
      <c r="AA105" s="10">
        <v>65931.597704400003</v>
      </c>
      <c r="AB105" s="10">
        <v>32616.221724359999</v>
      </c>
      <c r="AC105" s="10">
        <v>9270.8851371399996</v>
      </c>
      <c r="AD105" s="10">
        <v>275.68721581</v>
      </c>
      <c r="AE105" s="10">
        <v>-6203.2320891600011</v>
      </c>
    </row>
    <row r="106" spans="1:31" ht="15.75" x14ac:dyDescent="0.25">
      <c r="A106" t="s">
        <v>167</v>
      </c>
      <c r="B106" s="10">
        <v>249666.84953790001</v>
      </c>
      <c r="C106" s="10">
        <v>19054.106323610002</v>
      </c>
      <c r="D106" s="10">
        <v>327958.74646877003</v>
      </c>
      <c r="E106" s="10">
        <v>133967.919161</v>
      </c>
      <c r="F106" s="10">
        <v>4409.6406607999998</v>
      </c>
      <c r="G106" s="10">
        <v>103341.44473215</v>
      </c>
      <c r="H106" s="10">
        <v>18625.22984294</v>
      </c>
      <c r="I106" s="10">
        <v>11545.052960460001</v>
      </c>
      <c r="J106" s="10">
        <v>3145.0970773699996</v>
      </c>
      <c r="K106" s="10">
        <v>13063.4</v>
      </c>
      <c r="L106" s="10">
        <v>2045</v>
      </c>
      <c r="M106" s="10" t="s">
        <v>69</v>
      </c>
      <c r="N106" s="10">
        <v>7668.4172812300003</v>
      </c>
      <c r="O106" s="10">
        <v>17118.131590789999</v>
      </c>
      <c r="P106" s="10">
        <v>72840.595151400004</v>
      </c>
      <c r="Q106" s="10">
        <v>4488.4560853900002</v>
      </c>
      <c r="R106" s="10">
        <v>74078.18922973999</v>
      </c>
      <c r="S106" s="10">
        <v>35165.579501550004</v>
      </c>
      <c r="T106" s="10">
        <v>6808.6788562500005</v>
      </c>
      <c r="U106" s="10">
        <v>1.6075610000000001E-2</v>
      </c>
      <c r="V106" s="10">
        <v>5.3459796700000002</v>
      </c>
      <c r="W106" s="10">
        <v>9837.67846379</v>
      </c>
      <c r="X106" s="10">
        <v>304.51082563999989</v>
      </c>
      <c r="Y106" s="10">
        <v>158166.48239453998</v>
      </c>
      <c r="Z106" s="10">
        <v>234933.43717913993</v>
      </c>
      <c r="AA106" s="10">
        <v>85720.378488190006</v>
      </c>
      <c r="AB106" s="10">
        <v>40362.079514739999</v>
      </c>
      <c r="AC106" s="10">
        <v>11558.99250145</v>
      </c>
      <c r="AD106" s="10">
        <v>270.98865076999994</v>
      </c>
      <c r="AE106" s="10">
        <v>4761.5029443399953</v>
      </c>
    </row>
    <row r="107" spans="1:31" ht="15.75" x14ac:dyDescent="0.25">
      <c r="A107" t="s">
        <v>168</v>
      </c>
      <c r="B107" s="10">
        <v>343428.05706477002</v>
      </c>
      <c r="C107" s="10">
        <v>21616.002346039997</v>
      </c>
      <c r="D107" s="10">
        <v>271212.39808617003</v>
      </c>
      <c r="E107" s="10">
        <v>135290.68589975999</v>
      </c>
      <c r="F107" s="10">
        <v>2472.8508021999996</v>
      </c>
      <c r="G107" s="10">
        <v>98321.812565689994</v>
      </c>
      <c r="H107" s="10">
        <v>16649.672920469999</v>
      </c>
      <c r="I107" s="10">
        <v>14167.519974090001</v>
      </c>
      <c r="J107" s="10">
        <v>2694.5285308000002</v>
      </c>
      <c r="K107" s="10">
        <v>7381</v>
      </c>
      <c r="L107" s="10">
        <v>11695</v>
      </c>
      <c r="M107" s="10" t="s">
        <v>69</v>
      </c>
      <c r="N107" s="10">
        <v>38901.785471530005</v>
      </c>
      <c r="O107" s="10">
        <v>30586.53650971</v>
      </c>
      <c r="P107" s="10">
        <v>64523.589233399995</v>
      </c>
      <c r="Q107" s="10">
        <v>3176.80021119</v>
      </c>
      <c r="R107" s="10">
        <v>89078.683202259999</v>
      </c>
      <c r="S107" s="10">
        <v>33133.220357520004</v>
      </c>
      <c r="T107" s="10">
        <v>7523.5388948600003</v>
      </c>
      <c r="U107" s="10">
        <v>4.3293329999999998E-2</v>
      </c>
      <c r="V107" s="10">
        <v>5.2446137699999991</v>
      </c>
      <c r="W107" s="10">
        <v>10165.460617519999</v>
      </c>
      <c r="X107" s="10">
        <v>222.53006629000006</v>
      </c>
      <c r="Y107" s="10">
        <v>128851.57318139999</v>
      </c>
      <c r="Z107" s="10">
        <v>183447.97858605999</v>
      </c>
      <c r="AA107" s="10">
        <v>75289.34714179</v>
      </c>
      <c r="AB107" s="10">
        <v>34280.463791399998</v>
      </c>
      <c r="AC107" s="10">
        <v>13565.661690280001</v>
      </c>
      <c r="AD107" s="10">
        <v>348.54953703000001</v>
      </c>
      <c r="AE107" s="10">
        <v>-43.711167589994147</v>
      </c>
    </row>
    <row r="108" spans="1:31" ht="15.75" x14ac:dyDescent="0.25">
      <c r="A108" t="s">
        <v>169</v>
      </c>
      <c r="B108" s="10">
        <v>343947.56884476001</v>
      </c>
      <c r="C108" s="10">
        <v>25431.121885550001</v>
      </c>
      <c r="D108" s="10">
        <v>311182.11762278999</v>
      </c>
      <c r="E108" s="10">
        <v>175138.65619236999</v>
      </c>
      <c r="F108" s="10">
        <v>1257.2692198000002</v>
      </c>
      <c r="G108" s="10">
        <v>115931.86532870001</v>
      </c>
      <c r="H108" s="10">
        <v>38637.100315200005</v>
      </c>
      <c r="I108" s="10">
        <v>17695.751864639999</v>
      </c>
      <c r="J108" s="10">
        <v>3490.7383318000002</v>
      </c>
      <c r="K108" s="10">
        <v>13293.3</v>
      </c>
      <c r="L108" s="10">
        <v>9799.6</v>
      </c>
      <c r="M108" s="10" t="s">
        <v>69</v>
      </c>
      <c r="N108" s="10">
        <v>76125.810105679993</v>
      </c>
      <c r="O108" s="10">
        <v>250486.18953907001</v>
      </c>
      <c r="P108" s="10">
        <v>76659.022190699994</v>
      </c>
      <c r="Q108" s="10">
        <v>4651.2973246900001</v>
      </c>
      <c r="R108" s="10">
        <v>116416.45142492</v>
      </c>
      <c r="S108" s="10">
        <v>42449.338898889997</v>
      </c>
      <c r="T108" s="10">
        <v>9474.382805629999</v>
      </c>
      <c r="U108" s="10">
        <v>1.08607E-3</v>
      </c>
      <c r="V108" s="10">
        <v>4.0054500399999995</v>
      </c>
      <c r="W108" s="10">
        <v>15180.128346690002</v>
      </c>
      <c r="X108" s="10">
        <v>231.21517224999999</v>
      </c>
      <c r="Y108" s="10">
        <v>160686.27530292002</v>
      </c>
      <c r="Z108" s="10">
        <v>230106.00012553998</v>
      </c>
      <c r="AA108" s="10">
        <v>90297.454716950015</v>
      </c>
      <c r="AB108" s="10">
        <v>40887.933654869994</v>
      </c>
      <c r="AC108" s="10">
        <v>13582.273298870001</v>
      </c>
      <c r="AD108" s="10">
        <v>358.50170807999996</v>
      </c>
      <c r="AE108" s="10">
        <v>4145.4817034000025</v>
      </c>
    </row>
    <row r="109" spans="1:31" ht="15.75" x14ac:dyDescent="0.25">
      <c r="A109" t="s">
        <v>170</v>
      </c>
      <c r="B109" s="10">
        <v>434146.07211718999</v>
      </c>
      <c r="C109" s="10">
        <v>30013.571188540001</v>
      </c>
      <c r="D109" s="10">
        <v>379160.29840113001</v>
      </c>
      <c r="E109" s="10">
        <v>217649.97158678999</v>
      </c>
      <c r="F109" s="10">
        <v>79.444489300000001</v>
      </c>
      <c r="G109" s="10">
        <v>134863.99500837998</v>
      </c>
      <c r="H109" s="10">
        <v>28032.155307929999</v>
      </c>
      <c r="I109" s="10">
        <v>20275.796726609999</v>
      </c>
      <c r="J109" s="10">
        <v>4054.2004985700005</v>
      </c>
      <c r="K109" s="10">
        <v>12438</v>
      </c>
      <c r="L109" s="10">
        <v>8642</v>
      </c>
      <c r="M109" s="10" t="s">
        <v>69</v>
      </c>
      <c r="N109" s="10">
        <v>84685.592542039987</v>
      </c>
      <c r="O109" s="10">
        <v>24501.963179999999</v>
      </c>
      <c r="P109" s="10">
        <v>7766.6239834900007</v>
      </c>
      <c r="Q109" s="10">
        <v>5784.8146745799995</v>
      </c>
      <c r="R109" s="10">
        <v>108069.42233618</v>
      </c>
      <c r="S109" s="10">
        <v>54140.008209729996</v>
      </c>
      <c r="T109" s="10">
        <v>11041.880279679999</v>
      </c>
      <c r="U109" s="10">
        <v>6.0702999999999994E-4</v>
      </c>
      <c r="V109" s="10">
        <v>5.3979719500000005</v>
      </c>
      <c r="W109" s="10">
        <v>18099.240768940002</v>
      </c>
      <c r="X109" s="10">
        <v>392.95975490000001</v>
      </c>
      <c r="Y109" s="10">
        <v>160523.00836916998</v>
      </c>
      <c r="Z109" s="10">
        <v>228874.35684573001</v>
      </c>
      <c r="AA109" s="10">
        <v>85258.416213079996</v>
      </c>
      <c r="AB109" s="10">
        <v>40160.477174739994</v>
      </c>
      <c r="AC109" s="10">
        <v>13310.99230337</v>
      </c>
      <c r="AD109" s="10">
        <v>365.06314441000006</v>
      </c>
      <c r="AE109" s="10">
        <v>-2646.7708566500046</v>
      </c>
    </row>
    <row r="110" spans="1:31" x14ac:dyDescent="0.25">
      <c r="A110" t="s">
        <v>171</v>
      </c>
      <c r="B110" s="20">
        <f>SUM('96-21'!B310:B312)</f>
        <v>138275.728</v>
      </c>
      <c r="C110" s="20">
        <f>SUM('96-21'!C310:C312)</f>
        <v>11309.181920000001</v>
      </c>
      <c r="D110" s="20">
        <f>SUM('96-21'!D310:D312)</f>
        <v>157595.06635565002</v>
      </c>
      <c r="E110" s="20">
        <f>SUM('96-21'!E310:E312)</f>
        <v>82736.538815619992</v>
      </c>
      <c r="F110" s="20">
        <f>SUM('96-21'!F310:F312)</f>
        <v>47.825704730000012</v>
      </c>
      <c r="G110" s="20">
        <f>SUM('96-21'!G310:G312)</f>
        <v>48171.015048909998</v>
      </c>
      <c r="H110" s="20">
        <f>SUM('96-21'!H310:H312)</f>
        <v>10187.77412143</v>
      </c>
      <c r="I110" s="20">
        <f>SUM('96-21'!I310:I312)</f>
        <v>7589.6503439999997</v>
      </c>
      <c r="J110" s="20">
        <f>SUM('96-21'!J310:J312)</f>
        <v>1449.5916239000003</v>
      </c>
      <c r="K110" s="20">
        <f>SUM('96-21'!K310:K312)</f>
        <v>7500</v>
      </c>
      <c r="L110" s="20">
        <f>SUM('96-21'!L310:L312)</f>
        <v>5500</v>
      </c>
      <c r="M110" s="20" t="s">
        <v>69</v>
      </c>
      <c r="N110" s="20">
        <f>SUM('96-21'!N310:N312)</f>
        <v>18992.34089924</v>
      </c>
      <c r="O110" s="20">
        <f>SUM('96-21'!O310:O312)</f>
        <v>5652.2667371000007</v>
      </c>
      <c r="P110" s="20">
        <f>SUM('96-21'!P310:P312)</f>
        <v>8347.366088859997</v>
      </c>
      <c r="Q110" s="20">
        <f>SUM('96-21'!Q310:Q312)</f>
        <v>2127.6052116999999</v>
      </c>
      <c r="R110" s="20">
        <f>SUM('96-21'!R310:R312)</f>
        <v>2365.2076662900004</v>
      </c>
      <c r="S110" s="20">
        <f>SUM('96-21'!S310:S312)</f>
        <v>79423.220347680006</v>
      </c>
      <c r="T110" s="20">
        <f>SUM('96-21'!T310:T312)</f>
        <v>20249.20135716</v>
      </c>
      <c r="U110" s="20">
        <f>SUM('96-21'!U310:U312)</f>
        <v>4193.0436447399998</v>
      </c>
      <c r="V110" s="20">
        <f>SUM('96-21'!V310:V312)</f>
        <v>7.0706999999999996E-4</v>
      </c>
      <c r="W110" s="20">
        <f>SUM('96-21'!W310:W312)</f>
        <v>1.1417261300000001</v>
      </c>
      <c r="X110" s="20">
        <f>SUM('96-21'!X310:X312)</f>
        <v>6245.8526021999996</v>
      </c>
      <c r="Y110" s="20">
        <f>SUM('96-21'!Y310:Y312)</f>
        <v>163.47136287000001</v>
      </c>
      <c r="Z110" s="20">
        <f>SUM('96-21'!Z310:Z312)</f>
        <v>188750.4465974</v>
      </c>
      <c r="AA110" s="20">
        <f>SUM('96-21'!AA311:AA312)</f>
        <v>0</v>
      </c>
      <c r="AB110" s="20">
        <f>SUM('96-21'!AB310:AB312)</f>
        <v>19246.59763452</v>
      </c>
      <c r="AC110" s="20">
        <f>SUM('96-21'!AC310:AC312)</f>
        <v>4578.2178127400011</v>
      </c>
      <c r="AD110" s="20">
        <f>SUM('96-21'!AD310:AD312)</f>
        <v>120.85498691999999</v>
      </c>
      <c r="AE110" s="20">
        <f>SUM('96-21'!AE310:AE312)</f>
        <v>-1025.8632619199939</v>
      </c>
    </row>
  </sheetData>
  <mergeCells count="29">
    <mergeCell ref="N8:N9"/>
    <mergeCell ref="A6:A9"/>
    <mergeCell ref="B6:AC6"/>
    <mergeCell ref="S7:Y7"/>
    <mergeCell ref="Z7:AE7"/>
    <mergeCell ref="B8:C8"/>
    <mergeCell ref="D8:E8"/>
    <mergeCell ref="F8:F9"/>
    <mergeCell ref="G8:G9"/>
    <mergeCell ref="H8:I8"/>
    <mergeCell ref="W8:W9"/>
    <mergeCell ref="J8:J9"/>
    <mergeCell ref="K8:M8"/>
    <mergeCell ref="O8:O9"/>
    <mergeCell ref="P8:P9"/>
    <mergeCell ref="Q8:Q9"/>
    <mergeCell ref="R8:R9"/>
    <mergeCell ref="S8:S9"/>
    <mergeCell ref="T8:T9"/>
    <mergeCell ref="U8:U9"/>
    <mergeCell ref="V8:V9"/>
    <mergeCell ref="AD8:AD9"/>
    <mergeCell ref="AE8:AE9"/>
    <mergeCell ref="X8:X9"/>
    <mergeCell ref="Y8:Y9"/>
    <mergeCell ref="Z8:Z9"/>
    <mergeCell ref="AA8:AA9"/>
    <mergeCell ref="AB8:AB9"/>
    <mergeCell ref="AC8:AC9"/>
  </mergeCells>
  <hyperlinks>
    <hyperlink ref="B4" r:id="rId1" xr:uid="{BAE18F45-8DBE-4055-8397-25732BBA4DBB}"/>
    <hyperlink ref="E4" location="INDICE!A1" display="Volver al indice" xr:uid="{7BBF7F63-BAC1-4F6D-9516-96C779166BC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038CF-53FC-4569-9D09-5C67E2BDBA32}">
  <dimension ref="A1:AE35"/>
  <sheetViews>
    <sheetView workbookViewId="0">
      <selection activeCell="E4" sqref="E4"/>
    </sheetView>
  </sheetViews>
  <sheetFormatPr baseColWidth="10" defaultColWidth="11.42578125" defaultRowHeight="15" x14ac:dyDescent="0.25"/>
  <sheetData>
    <row r="1" spans="1:31" ht="23.25" x14ac:dyDescent="0.35">
      <c r="A1" s="17" t="s">
        <v>25</v>
      </c>
    </row>
    <row r="2" spans="1:31" ht="21" x14ac:dyDescent="0.35">
      <c r="A2" s="18" t="s">
        <v>172</v>
      </c>
    </row>
    <row r="3" spans="1:31" x14ac:dyDescent="0.25">
      <c r="A3" t="s">
        <v>27</v>
      </c>
    </row>
    <row r="4" spans="1:31" x14ac:dyDescent="0.25">
      <c r="A4" t="s">
        <v>28</v>
      </c>
      <c r="B4" s="35" t="s">
        <v>29</v>
      </c>
      <c r="E4" s="35" t="s">
        <v>30</v>
      </c>
    </row>
    <row r="6" spans="1:31" ht="15.75" x14ac:dyDescent="0.25">
      <c r="A6" s="52" t="s">
        <v>31</v>
      </c>
      <c r="B6" s="53" t="s">
        <v>32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4"/>
      <c r="AA6" s="54"/>
      <c r="AB6" s="54"/>
      <c r="AC6" s="54"/>
      <c r="AD6" s="29"/>
      <c r="AE6" s="29"/>
    </row>
    <row r="7" spans="1:31" ht="15.75" x14ac:dyDescent="0.25">
      <c r="A7" s="52"/>
      <c r="B7" s="31" t="s">
        <v>33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55" t="s">
        <v>34</v>
      </c>
      <c r="T7" s="56"/>
      <c r="U7" s="56"/>
      <c r="V7" s="56"/>
      <c r="W7" s="56"/>
      <c r="X7" s="56"/>
      <c r="Y7" s="57"/>
      <c r="Z7" s="58" t="s">
        <v>35</v>
      </c>
      <c r="AA7" s="59"/>
      <c r="AB7" s="59"/>
      <c r="AC7" s="59"/>
      <c r="AD7" s="59"/>
      <c r="AE7" s="59"/>
    </row>
    <row r="8" spans="1:31" ht="15.75" x14ac:dyDescent="0.25">
      <c r="A8" s="52"/>
      <c r="B8" s="56" t="s">
        <v>36</v>
      </c>
      <c r="C8" s="57"/>
      <c r="D8" s="56" t="s">
        <v>37</v>
      </c>
      <c r="E8" s="56"/>
      <c r="F8" s="47" t="s">
        <v>38</v>
      </c>
      <c r="G8" s="47" t="s">
        <v>39</v>
      </c>
      <c r="H8" s="60" t="s">
        <v>40</v>
      </c>
      <c r="I8" s="60"/>
      <c r="J8" s="46" t="s">
        <v>41</v>
      </c>
      <c r="K8" s="60" t="s">
        <v>42</v>
      </c>
      <c r="L8" s="60"/>
      <c r="M8" s="61"/>
      <c r="N8" s="50" t="s">
        <v>173</v>
      </c>
      <c r="O8" s="47" t="s">
        <v>44</v>
      </c>
      <c r="P8" s="47" t="s">
        <v>45</v>
      </c>
      <c r="Q8" s="46" t="s">
        <v>46</v>
      </c>
      <c r="R8" s="47" t="s">
        <v>47</v>
      </c>
      <c r="S8" s="50" t="s">
        <v>48</v>
      </c>
      <c r="T8" s="46" t="s">
        <v>49</v>
      </c>
      <c r="U8" s="46" t="s">
        <v>50</v>
      </c>
      <c r="V8" s="46" t="s">
        <v>51</v>
      </c>
      <c r="W8" s="46" t="s">
        <v>52</v>
      </c>
      <c r="X8" s="46" t="s">
        <v>53</v>
      </c>
      <c r="Y8" s="48" t="s">
        <v>54</v>
      </c>
      <c r="Z8" s="47" t="s">
        <v>55</v>
      </c>
      <c r="AA8" s="47" t="s">
        <v>56</v>
      </c>
      <c r="AB8" s="47" t="s">
        <v>57</v>
      </c>
      <c r="AC8" s="47" t="s">
        <v>58</v>
      </c>
      <c r="AD8" s="47" t="s">
        <v>59</v>
      </c>
      <c r="AE8" s="47" t="s">
        <v>60</v>
      </c>
    </row>
    <row r="9" spans="1:31" ht="78.75" x14ac:dyDescent="0.25">
      <c r="A9" s="52"/>
      <c r="B9" s="11" t="s">
        <v>61</v>
      </c>
      <c r="C9" s="12" t="s">
        <v>62</v>
      </c>
      <c r="D9" s="11" t="s">
        <v>63</v>
      </c>
      <c r="E9" s="11" t="s">
        <v>64</v>
      </c>
      <c r="F9" s="47"/>
      <c r="G9" s="47"/>
      <c r="H9" s="11" t="s">
        <v>65</v>
      </c>
      <c r="I9" s="11" t="s">
        <v>54</v>
      </c>
      <c r="J9" s="47"/>
      <c r="K9" s="11" t="s">
        <v>66</v>
      </c>
      <c r="L9" s="11" t="s">
        <v>67</v>
      </c>
      <c r="M9" s="12" t="s">
        <v>68</v>
      </c>
      <c r="N9" s="51"/>
      <c r="O9" s="47"/>
      <c r="P9" s="47"/>
      <c r="Q9" s="47"/>
      <c r="R9" s="47"/>
      <c r="S9" s="51"/>
      <c r="T9" s="47"/>
      <c r="U9" s="47"/>
      <c r="V9" s="47"/>
      <c r="W9" s="47"/>
      <c r="X9" s="47"/>
      <c r="Y9" s="49"/>
      <c r="Z9" s="47"/>
      <c r="AA9" s="47"/>
      <c r="AB9" s="47"/>
      <c r="AC9" s="47"/>
      <c r="AD9" s="47"/>
      <c r="AE9" s="47"/>
    </row>
    <row r="10" spans="1:31" ht="15.75" x14ac:dyDescent="0.25">
      <c r="A10">
        <v>1996</v>
      </c>
      <c r="B10" s="20">
        <v>6407.2739999999994</v>
      </c>
      <c r="C10" s="20">
        <v>393.72200000000004</v>
      </c>
      <c r="D10" s="20">
        <v>13890.526000000002</v>
      </c>
      <c r="E10" s="20">
        <v>6260.8939999999993</v>
      </c>
      <c r="F10" s="20">
        <v>0</v>
      </c>
      <c r="G10" s="20">
        <v>0</v>
      </c>
      <c r="H10" s="10">
        <v>1343.7120000000002</v>
      </c>
      <c r="I10" s="10">
        <v>596.83299999999997</v>
      </c>
      <c r="J10" s="10">
        <v>172.304</v>
      </c>
      <c r="K10" s="10">
        <v>1326.345</v>
      </c>
      <c r="L10" s="10">
        <v>611.94899999999996</v>
      </c>
      <c r="M10" s="10">
        <v>120.761</v>
      </c>
      <c r="N10" s="10">
        <v>2476.8180000000002</v>
      </c>
      <c r="O10" s="10">
        <v>653.04299999999989</v>
      </c>
      <c r="P10" s="10">
        <v>0</v>
      </c>
      <c r="Q10" s="10">
        <v>0</v>
      </c>
      <c r="R10" s="10">
        <v>644.16800000000012</v>
      </c>
      <c r="S10" s="10">
        <v>28.317000000000004</v>
      </c>
      <c r="T10" s="10">
        <v>1897.643</v>
      </c>
      <c r="U10" s="10">
        <v>328.42399999999998</v>
      </c>
      <c r="V10" s="10">
        <v>0</v>
      </c>
      <c r="W10" s="10">
        <v>4.6270000000000007</v>
      </c>
      <c r="X10" s="10">
        <v>0</v>
      </c>
      <c r="Y10" s="10">
        <v>50.446000000000005</v>
      </c>
      <c r="Z10" s="10">
        <v>12561.599999999999</v>
      </c>
      <c r="AA10" s="10">
        <v>2454.7530000000002</v>
      </c>
      <c r="AB10" s="10">
        <v>229.36</v>
      </c>
      <c r="AC10" s="10">
        <v>0</v>
      </c>
      <c r="AD10" s="10">
        <v>0</v>
      </c>
      <c r="AE10" s="10">
        <v>677.27199999999993</v>
      </c>
    </row>
    <row r="11" spans="1:31" ht="15.75" x14ac:dyDescent="0.25">
      <c r="A11">
        <v>1997</v>
      </c>
      <c r="B11" s="20">
        <v>7838.0311591299997</v>
      </c>
      <c r="C11" s="20">
        <v>495.74707760000001</v>
      </c>
      <c r="D11" s="20">
        <v>14638.98651947</v>
      </c>
      <c r="E11" s="20">
        <v>7698.1312948699997</v>
      </c>
      <c r="F11" s="20">
        <v>0</v>
      </c>
      <c r="G11" s="20">
        <v>0</v>
      </c>
      <c r="H11" s="10">
        <v>1318.2459999999999</v>
      </c>
      <c r="I11" s="10">
        <v>582.85200000000009</v>
      </c>
      <c r="J11" s="10">
        <v>193.82500000000002</v>
      </c>
      <c r="K11" s="10">
        <v>1863.2438014399997</v>
      </c>
      <c r="L11" s="10">
        <v>593.19299999999998</v>
      </c>
      <c r="M11" s="10">
        <v>60.317</v>
      </c>
      <c r="N11" s="10">
        <v>5410.3515050799997</v>
      </c>
      <c r="O11" s="10">
        <v>488.69378959000005</v>
      </c>
      <c r="P11" s="10">
        <v>0</v>
      </c>
      <c r="Q11" s="10">
        <v>0</v>
      </c>
      <c r="R11" s="10">
        <v>492.56700000000001</v>
      </c>
      <c r="S11" s="10">
        <v>6.4850000000000003</v>
      </c>
      <c r="T11" s="10">
        <v>2429.1729999999998</v>
      </c>
      <c r="U11" s="10">
        <v>392.13099999999997</v>
      </c>
      <c r="V11" s="10">
        <v>0</v>
      </c>
      <c r="W11" s="10">
        <v>3.8639999999999999</v>
      </c>
      <c r="X11" s="10">
        <v>0</v>
      </c>
      <c r="Y11" s="10">
        <v>21.171999999999997</v>
      </c>
      <c r="Z11" s="10">
        <v>13827.5</v>
      </c>
      <c r="AA11" s="10">
        <v>2607.7139999999999</v>
      </c>
      <c r="AB11" s="10">
        <v>513.24800000000005</v>
      </c>
      <c r="AC11" s="10">
        <v>0</v>
      </c>
      <c r="AD11" s="10">
        <v>0</v>
      </c>
      <c r="AE11" s="10">
        <v>400.27199999999993</v>
      </c>
    </row>
    <row r="12" spans="1:31" ht="15.75" x14ac:dyDescent="0.25">
      <c r="A12">
        <v>1998</v>
      </c>
      <c r="B12" s="20">
        <v>8988.5400043199988</v>
      </c>
      <c r="C12" s="20">
        <v>500.01593192999991</v>
      </c>
      <c r="D12" s="20">
        <v>14894.311478899997</v>
      </c>
      <c r="E12" s="20">
        <v>7695.6360140899997</v>
      </c>
      <c r="F12" s="20">
        <v>0</v>
      </c>
      <c r="G12" s="20">
        <v>0</v>
      </c>
      <c r="H12" s="10">
        <v>1331.0970000000002</v>
      </c>
      <c r="I12" s="10">
        <v>610.63</v>
      </c>
      <c r="J12" s="10">
        <v>197.81599999999997</v>
      </c>
      <c r="K12" s="10">
        <v>1732.5895924100003</v>
      </c>
      <c r="L12" s="10">
        <v>506.93299999999999</v>
      </c>
      <c r="M12" s="10">
        <v>13.35</v>
      </c>
      <c r="N12" s="10">
        <v>5059.5402726600005</v>
      </c>
      <c r="O12" s="10">
        <v>772.20522263000009</v>
      </c>
      <c r="P12" s="10">
        <v>0</v>
      </c>
      <c r="Q12" s="10">
        <v>99.63</v>
      </c>
      <c r="R12" s="10">
        <v>514.34742768500007</v>
      </c>
      <c r="S12" s="10">
        <v>27.866450620000002</v>
      </c>
      <c r="T12" s="10">
        <v>2694.0039999999999</v>
      </c>
      <c r="U12" s="10">
        <v>81.921999999999997</v>
      </c>
      <c r="V12" s="10">
        <v>0</v>
      </c>
      <c r="W12" s="10">
        <v>5.5119999999999996</v>
      </c>
      <c r="X12" s="10">
        <v>0</v>
      </c>
      <c r="Y12" s="10">
        <v>32.475999999999999</v>
      </c>
      <c r="Z12" s="10">
        <v>14171.800000000001</v>
      </c>
      <c r="AA12" s="10">
        <v>2749.5090000000005</v>
      </c>
      <c r="AB12" s="10">
        <v>570.70399999999995</v>
      </c>
      <c r="AC12" s="10">
        <v>62.157000000000004</v>
      </c>
      <c r="AD12" s="10">
        <v>0</v>
      </c>
      <c r="AE12" s="10">
        <v>172.01000000000005</v>
      </c>
    </row>
    <row r="13" spans="1:31" ht="15.75" x14ac:dyDescent="0.25">
      <c r="A13">
        <v>1999</v>
      </c>
      <c r="B13" s="20">
        <v>8823.8898680099992</v>
      </c>
      <c r="C13" s="20">
        <v>416.07779205999998</v>
      </c>
      <c r="D13" s="20">
        <v>14373.77830416</v>
      </c>
      <c r="E13" s="20">
        <v>6365.1042033400008</v>
      </c>
      <c r="F13" s="20">
        <v>739.71769560000007</v>
      </c>
      <c r="G13" s="20">
        <v>0</v>
      </c>
      <c r="H13" s="10">
        <v>1328.0189999999998</v>
      </c>
      <c r="I13" s="10">
        <v>500.15799999999996</v>
      </c>
      <c r="J13" s="10">
        <v>198.73883403500011</v>
      </c>
      <c r="K13" s="10">
        <v>1967.8463253200002</v>
      </c>
      <c r="L13" s="10">
        <v>572.49099999999999</v>
      </c>
      <c r="M13" s="10">
        <v>1.6169999999999995</v>
      </c>
      <c r="N13" s="10">
        <v>4999.2395782499989</v>
      </c>
      <c r="O13" s="10">
        <v>545.53249527000003</v>
      </c>
      <c r="P13" s="10">
        <v>0</v>
      </c>
      <c r="Q13" s="10">
        <v>385.40899999999993</v>
      </c>
      <c r="R13" s="10">
        <v>1487.3929999999998</v>
      </c>
      <c r="S13" s="10">
        <v>25.078966139999999</v>
      </c>
      <c r="T13" s="10">
        <v>2227.1569999999997</v>
      </c>
      <c r="U13" s="10">
        <v>50.588000000000001</v>
      </c>
      <c r="V13" s="10">
        <v>0</v>
      </c>
      <c r="W13" s="10">
        <v>3.9170000000000003</v>
      </c>
      <c r="X13" s="10">
        <v>0</v>
      </c>
      <c r="Y13" s="10">
        <v>39.103000000000002</v>
      </c>
      <c r="Z13" s="10">
        <v>13134.499999999998</v>
      </c>
      <c r="AA13" s="10">
        <v>2723.0209999999997</v>
      </c>
      <c r="AB13" s="10">
        <v>606.84400000000005</v>
      </c>
      <c r="AC13" s="10">
        <v>276.25900000000001</v>
      </c>
      <c r="AD13" s="10">
        <v>0</v>
      </c>
      <c r="AE13" s="10">
        <v>46.426000000000002</v>
      </c>
    </row>
    <row r="14" spans="1:31" ht="15.75" x14ac:dyDescent="0.25">
      <c r="A14">
        <v>2000</v>
      </c>
      <c r="B14" s="20">
        <v>10048.182166959999</v>
      </c>
      <c r="C14" s="20">
        <v>406.96253807000005</v>
      </c>
      <c r="D14" s="20">
        <v>14423.279826319998</v>
      </c>
      <c r="E14" s="20">
        <v>6051.9578636900005</v>
      </c>
      <c r="F14" s="20">
        <v>600.15494804999992</v>
      </c>
      <c r="G14" s="20">
        <v>0</v>
      </c>
      <c r="H14" s="10">
        <v>1219.2179999999998</v>
      </c>
      <c r="I14" s="10">
        <v>518.92999999999995</v>
      </c>
      <c r="J14" s="10">
        <v>487.255</v>
      </c>
      <c r="K14" s="10">
        <v>1466.7659331200002</v>
      </c>
      <c r="L14" s="10">
        <v>582.33100000000002</v>
      </c>
      <c r="M14" s="10">
        <v>277.54899999999998</v>
      </c>
      <c r="N14" s="10">
        <v>4802.8008065499998</v>
      </c>
      <c r="O14" s="10">
        <v>1024.3117548499999</v>
      </c>
      <c r="P14" s="10">
        <v>0</v>
      </c>
      <c r="Q14" s="10">
        <v>353.55299999999994</v>
      </c>
      <c r="R14" s="10">
        <v>1526.9079999999999</v>
      </c>
      <c r="S14" s="10">
        <v>32.072443340000007</v>
      </c>
      <c r="T14" s="10">
        <v>1937.8390000000002</v>
      </c>
      <c r="U14" s="10">
        <v>38.411999999999999</v>
      </c>
      <c r="V14" s="10">
        <v>0</v>
      </c>
      <c r="W14" s="10">
        <v>3.218</v>
      </c>
      <c r="X14" s="10">
        <v>0</v>
      </c>
      <c r="Y14" s="10">
        <v>47.082999999999998</v>
      </c>
      <c r="Z14" s="10">
        <v>12919.3</v>
      </c>
      <c r="AA14" s="10">
        <v>2722.7489999999998</v>
      </c>
      <c r="AB14" s="10">
        <v>614.69499999999994</v>
      </c>
      <c r="AC14" s="10">
        <v>321.61</v>
      </c>
      <c r="AD14" s="10">
        <v>0</v>
      </c>
      <c r="AE14" s="10">
        <v>15.662000000000006</v>
      </c>
    </row>
    <row r="15" spans="1:31" ht="15.75" x14ac:dyDescent="0.25">
      <c r="A15">
        <v>2001</v>
      </c>
      <c r="B15" s="20">
        <v>9771.9383935300011</v>
      </c>
      <c r="C15" s="20">
        <v>319.36458951999998</v>
      </c>
      <c r="D15" s="20">
        <v>12396.004986300002</v>
      </c>
      <c r="E15" s="20">
        <v>4728.1065440900002</v>
      </c>
      <c r="F15" s="20">
        <v>550.05146884999999</v>
      </c>
      <c r="G15" s="20">
        <v>2932.9749147100006</v>
      </c>
      <c r="H15" s="10">
        <v>1335.7440000000004</v>
      </c>
      <c r="I15" s="10">
        <v>410.94599999999997</v>
      </c>
      <c r="J15" s="10">
        <v>225.852</v>
      </c>
      <c r="K15" s="10">
        <v>1773.1286766700005</v>
      </c>
      <c r="L15" s="10">
        <v>531.74400000000003</v>
      </c>
      <c r="M15" s="10">
        <v>1.5699999999999999E-2</v>
      </c>
      <c r="N15" s="10">
        <v>5018.4210103699997</v>
      </c>
      <c r="O15" s="10">
        <v>769.33305171999996</v>
      </c>
      <c r="P15" s="10">
        <v>0</v>
      </c>
      <c r="Q15" s="10">
        <v>302.35399999999993</v>
      </c>
      <c r="R15" s="10">
        <v>839.82282999999995</v>
      </c>
      <c r="S15" s="10">
        <v>52.347867460000003</v>
      </c>
      <c r="T15" s="10">
        <v>1540.482</v>
      </c>
      <c r="U15" s="10">
        <v>34.418000000000006</v>
      </c>
      <c r="V15" s="10">
        <v>0</v>
      </c>
      <c r="W15" s="10">
        <v>1.448</v>
      </c>
      <c r="X15" s="10">
        <v>0</v>
      </c>
      <c r="Y15" s="10">
        <v>47.660999999999994</v>
      </c>
      <c r="Z15" s="10">
        <v>11861.599999999999</v>
      </c>
      <c r="AA15" s="10">
        <v>2483.4969999999998</v>
      </c>
      <c r="AB15" s="10">
        <v>736.6869999999999</v>
      </c>
      <c r="AC15" s="10">
        <v>304.28899999999999</v>
      </c>
      <c r="AD15" s="10">
        <v>0</v>
      </c>
      <c r="AE15" s="10">
        <v>23.240999999999993</v>
      </c>
    </row>
    <row r="16" spans="1:31" ht="15.75" x14ac:dyDescent="0.25">
      <c r="A16">
        <v>2002</v>
      </c>
      <c r="B16" s="20">
        <v>8608.9650808600018</v>
      </c>
      <c r="C16" s="20">
        <v>310.37376028000006</v>
      </c>
      <c r="D16" s="20">
        <v>13365.345690689999</v>
      </c>
      <c r="E16" s="20">
        <v>4786.9705312900005</v>
      </c>
      <c r="F16" s="20">
        <v>534.62019465000003</v>
      </c>
      <c r="G16" s="20">
        <v>4857.3462782299994</v>
      </c>
      <c r="H16" s="10">
        <v>1426.5849999999998</v>
      </c>
      <c r="I16" s="10">
        <v>339.99900000000002</v>
      </c>
      <c r="J16" s="10">
        <v>217.63499999999999</v>
      </c>
      <c r="K16" s="10">
        <v>2910.1420059699999</v>
      </c>
      <c r="L16" s="10">
        <v>1221.78</v>
      </c>
      <c r="M16" s="10">
        <v>0.22999999999999998</v>
      </c>
      <c r="N16" s="10">
        <v>7287.8655736399996</v>
      </c>
      <c r="O16" s="10">
        <v>523.5087688000001</v>
      </c>
      <c r="P16" s="10">
        <v>0</v>
      </c>
      <c r="Q16" s="10">
        <v>223.25700000000001</v>
      </c>
      <c r="R16" s="10">
        <v>348.50300000000004</v>
      </c>
      <c r="S16" s="10">
        <v>5021.54076953</v>
      </c>
      <c r="T16" s="10">
        <v>1265.6420000000001</v>
      </c>
      <c r="U16" s="10">
        <v>41.933</v>
      </c>
      <c r="V16" s="10">
        <v>-1.1389999999999985</v>
      </c>
      <c r="W16" s="10">
        <v>3.31</v>
      </c>
      <c r="X16" s="10">
        <v>0</v>
      </c>
      <c r="Y16" s="10">
        <v>25.775000000000002</v>
      </c>
      <c r="Z16" s="10">
        <v>9993.9</v>
      </c>
      <c r="AA16" s="10">
        <v>2511.6279999999997</v>
      </c>
      <c r="AB16" s="10">
        <v>691.42299999999989</v>
      </c>
      <c r="AC16" s="10">
        <v>225.82</v>
      </c>
      <c r="AD16" s="10">
        <v>0</v>
      </c>
      <c r="AE16" s="10">
        <v>47.221999999999994</v>
      </c>
    </row>
    <row r="17" spans="1:31" ht="15.75" x14ac:dyDescent="0.25">
      <c r="A17">
        <v>2003</v>
      </c>
      <c r="B17" s="20">
        <v>14204.626450579999</v>
      </c>
      <c r="C17" s="20">
        <v>546.11017006999998</v>
      </c>
      <c r="D17" s="20">
        <v>16633.539293340003</v>
      </c>
      <c r="E17" s="20">
        <v>8654.1366490599994</v>
      </c>
      <c r="F17" s="20">
        <v>1362.7687761999998</v>
      </c>
      <c r="G17" s="20">
        <v>5900.2186368099992</v>
      </c>
      <c r="H17" s="10">
        <v>1770.14975413</v>
      </c>
      <c r="I17" s="10">
        <v>461.88220321</v>
      </c>
      <c r="J17" s="10">
        <v>256.30473254000003</v>
      </c>
      <c r="K17" s="10">
        <v>4340.1031684999998</v>
      </c>
      <c r="L17" s="10">
        <v>1367.2067902899998</v>
      </c>
      <c r="M17" s="10">
        <v>0</v>
      </c>
      <c r="N17" s="10">
        <v>8337.2453709599995</v>
      </c>
      <c r="O17" s="10">
        <v>1602.7865885399999</v>
      </c>
      <c r="P17" s="10">
        <v>0</v>
      </c>
      <c r="Q17" s="10">
        <v>282.74138338</v>
      </c>
      <c r="R17" s="10">
        <v>375.81384086999998</v>
      </c>
      <c r="S17" s="10">
        <v>9211.8982657699999</v>
      </c>
      <c r="T17" s="10">
        <v>2228.2097802000003</v>
      </c>
      <c r="U17" s="10">
        <v>60.459981039999995</v>
      </c>
      <c r="V17" s="10">
        <v>-195.73911641000001</v>
      </c>
      <c r="W17" s="10">
        <v>2.4502245</v>
      </c>
      <c r="X17" s="10">
        <v>0</v>
      </c>
      <c r="Y17" s="10">
        <v>71.085845190000015</v>
      </c>
      <c r="Z17" s="10">
        <v>12326</v>
      </c>
      <c r="AA17" s="10">
        <v>3129.4495177899998</v>
      </c>
      <c r="AB17" s="10">
        <v>875.68667231000006</v>
      </c>
      <c r="AC17" s="10">
        <v>294.66711263999997</v>
      </c>
      <c r="AD17" s="10">
        <v>0</v>
      </c>
      <c r="AE17" s="10">
        <v>-1.3181260600000013</v>
      </c>
    </row>
    <row r="18" spans="1:31" ht="15.75" x14ac:dyDescent="0.25">
      <c r="A18">
        <v>2004</v>
      </c>
      <c r="B18" s="20">
        <v>21402.01793224</v>
      </c>
      <c r="C18" s="20">
        <v>887.1033556299999</v>
      </c>
      <c r="D18" s="20">
        <v>20267.688300810001</v>
      </c>
      <c r="E18" s="20">
        <v>12979.379108249999</v>
      </c>
      <c r="F18" s="20">
        <v>1223.71026721</v>
      </c>
      <c r="G18" s="20">
        <v>7681.91874551</v>
      </c>
      <c r="H18" s="10">
        <v>2296.6455281799999</v>
      </c>
      <c r="I18" s="10">
        <v>743.97139624999988</v>
      </c>
      <c r="J18" s="10">
        <v>343.39986403</v>
      </c>
      <c r="K18" s="10">
        <v>2270.37822719</v>
      </c>
      <c r="L18" s="10">
        <v>1564</v>
      </c>
      <c r="M18" s="10">
        <v>-2.8450529999999998E-2</v>
      </c>
      <c r="N18" s="10">
        <v>9104.3715054299992</v>
      </c>
      <c r="O18" s="10">
        <v>1660.9212416500002</v>
      </c>
      <c r="P18" s="10">
        <v>0</v>
      </c>
      <c r="Q18" s="10">
        <v>499.37655455999999</v>
      </c>
      <c r="R18" s="10">
        <v>415.73676995999995</v>
      </c>
      <c r="S18" s="10">
        <v>10271.98497546</v>
      </c>
      <c r="T18" s="10">
        <v>3168.3700998900003</v>
      </c>
      <c r="U18" s="10">
        <v>82.083347740000008</v>
      </c>
      <c r="V18" s="10">
        <v>11.090155390000001</v>
      </c>
      <c r="W18" s="10">
        <v>3.6137729999999997</v>
      </c>
      <c r="X18" s="10">
        <v>0</v>
      </c>
      <c r="Y18" s="10">
        <v>439.57817941999997</v>
      </c>
      <c r="Z18" s="10">
        <v>16542</v>
      </c>
      <c r="AA18" s="10">
        <v>3932.2090911300002</v>
      </c>
      <c r="AB18" s="10">
        <v>1259.93363843</v>
      </c>
      <c r="AC18" s="10">
        <v>455.98315502999992</v>
      </c>
      <c r="AD18" s="10">
        <v>0</v>
      </c>
      <c r="AE18" s="10">
        <v>188.33947537</v>
      </c>
    </row>
    <row r="19" spans="1:31" ht="15.75" x14ac:dyDescent="0.25">
      <c r="A19">
        <v>2005</v>
      </c>
      <c r="B19" s="20">
        <v>26902.321398849999</v>
      </c>
      <c r="C19" s="20">
        <v>1142.95556414</v>
      </c>
      <c r="D19" s="20">
        <v>23542.649784109999</v>
      </c>
      <c r="E19" s="20">
        <v>16112.42076375</v>
      </c>
      <c r="F19" s="20">
        <v>1102.2036453999999</v>
      </c>
      <c r="G19" s="20">
        <v>9434.22975778</v>
      </c>
      <c r="H19" s="10">
        <v>2699.8613082699999</v>
      </c>
      <c r="I19" s="10">
        <v>965.73561630999984</v>
      </c>
      <c r="J19" s="10">
        <v>392.08601099999998</v>
      </c>
      <c r="K19" s="10">
        <v>2801.6664558899997</v>
      </c>
      <c r="L19" s="10">
        <v>1885</v>
      </c>
      <c r="M19" s="10">
        <v>0</v>
      </c>
      <c r="N19" s="10">
        <v>10265.721133769997</v>
      </c>
      <c r="O19" s="10">
        <v>1812.6725335000001</v>
      </c>
      <c r="P19" s="10">
        <v>0</v>
      </c>
      <c r="Q19" s="10">
        <v>756.9220942500001</v>
      </c>
      <c r="R19" s="10">
        <v>509.34599118999876</v>
      </c>
      <c r="S19" s="10">
        <v>12322.482168220002</v>
      </c>
      <c r="T19" s="10">
        <v>3780.3383724800005</v>
      </c>
      <c r="U19" s="10">
        <v>96.224954420000003</v>
      </c>
      <c r="V19" s="10">
        <v>-8.8943514599999993</v>
      </c>
      <c r="W19" s="10">
        <v>3.9436138499999998</v>
      </c>
      <c r="X19" s="10">
        <v>0</v>
      </c>
      <c r="Y19" s="10">
        <v>554.74948438000001</v>
      </c>
      <c r="Z19" s="10">
        <v>21352.3</v>
      </c>
      <c r="AA19" s="10">
        <v>4792.3090107599992</v>
      </c>
      <c r="AB19" s="10">
        <v>1724.2371450400001</v>
      </c>
      <c r="AC19" s="10">
        <v>591.57231328000012</v>
      </c>
      <c r="AD19" s="10">
        <v>0</v>
      </c>
      <c r="AE19" s="10">
        <v>111.41513829000002</v>
      </c>
    </row>
    <row r="20" spans="1:31" ht="15.75" x14ac:dyDescent="0.25">
      <c r="A20">
        <v>2006</v>
      </c>
      <c r="B20" s="20">
        <v>32126.870999230003</v>
      </c>
      <c r="C20" s="20">
        <v>1488.1998974399999</v>
      </c>
      <c r="D20" s="20">
        <v>30075.031902889998</v>
      </c>
      <c r="E20" s="20">
        <v>20292.33208185</v>
      </c>
      <c r="F20" s="20">
        <v>1084.0081531000001</v>
      </c>
      <c r="G20" s="20">
        <v>11685.740393970002</v>
      </c>
      <c r="H20" s="10">
        <v>2717.3358476100002</v>
      </c>
      <c r="I20" s="10">
        <v>1383.03851564</v>
      </c>
      <c r="J20" s="10">
        <v>398.24352608999999</v>
      </c>
      <c r="K20" s="10">
        <v>3263.2070840900001</v>
      </c>
      <c r="L20" s="10">
        <v>1965</v>
      </c>
      <c r="M20" s="10">
        <v>0</v>
      </c>
      <c r="N20" s="10">
        <v>11093.458506609999</v>
      </c>
      <c r="O20" s="10">
        <v>2076.7516734199999</v>
      </c>
      <c r="P20" s="10">
        <v>0</v>
      </c>
      <c r="Q20" s="10">
        <v>868.74571851999985</v>
      </c>
      <c r="R20" s="10">
        <v>580.66056648999995</v>
      </c>
      <c r="S20" s="10">
        <v>14711.67878681</v>
      </c>
      <c r="T20" s="10">
        <v>5018.5653025400006</v>
      </c>
      <c r="U20" s="10">
        <v>120.43143107</v>
      </c>
      <c r="V20" s="10">
        <v>-9.8044659200000002</v>
      </c>
      <c r="W20" s="10">
        <v>4.5290457200000001</v>
      </c>
      <c r="X20" s="10">
        <v>0</v>
      </c>
      <c r="Y20" s="10">
        <v>821.72318560000008</v>
      </c>
      <c r="Z20" s="10">
        <v>30376.800000000003</v>
      </c>
      <c r="AA20" s="10">
        <v>6314.1410184400002</v>
      </c>
      <c r="AB20" s="10">
        <v>2647.1164116899999</v>
      </c>
      <c r="AC20" s="10">
        <v>661.50124004999998</v>
      </c>
      <c r="AD20" s="10">
        <v>0</v>
      </c>
      <c r="AE20" s="10">
        <v>529.10000450000007</v>
      </c>
    </row>
    <row r="21" spans="1:31" ht="15.75" x14ac:dyDescent="0.25">
      <c r="A21">
        <v>2007</v>
      </c>
      <c r="B21" s="20">
        <v>40588.047524630005</v>
      </c>
      <c r="C21" s="20">
        <v>2266.8426973200003</v>
      </c>
      <c r="D21" s="20">
        <v>39260.199622669992</v>
      </c>
      <c r="E21" s="20">
        <v>27398.782376620005</v>
      </c>
      <c r="F21" s="20">
        <v>1298.9608807899999</v>
      </c>
      <c r="G21" s="20">
        <v>15064.94053428</v>
      </c>
      <c r="H21" s="10">
        <v>3021.3252702700001</v>
      </c>
      <c r="I21" s="10">
        <v>1717.43119043</v>
      </c>
      <c r="J21" s="10">
        <v>447.07521997000003</v>
      </c>
      <c r="K21" s="10">
        <v>3989.73148864</v>
      </c>
      <c r="L21" s="10">
        <v>1912.5</v>
      </c>
      <c r="M21" s="10" t="s">
        <v>69</v>
      </c>
      <c r="N21" s="10">
        <v>12393.588703029998</v>
      </c>
      <c r="O21" s="10">
        <v>2491.8821810200006</v>
      </c>
      <c r="P21" s="10">
        <v>0</v>
      </c>
      <c r="Q21" s="10">
        <v>1063.32764888</v>
      </c>
      <c r="R21" s="10">
        <v>877.45455646999994</v>
      </c>
      <c r="S21" s="10">
        <v>20449.741568549998</v>
      </c>
      <c r="T21" s="10">
        <v>6859.20946241</v>
      </c>
      <c r="U21" s="10">
        <v>156.08207576999996</v>
      </c>
      <c r="V21" s="10">
        <v>3.1433570099999999</v>
      </c>
      <c r="W21" s="10">
        <v>8.7555607200000001</v>
      </c>
      <c r="X21" s="10">
        <v>0</v>
      </c>
      <c r="Y21" s="10">
        <v>1319.2375428099997</v>
      </c>
      <c r="Z21" s="10">
        <v>43572.5</v>
      </c>
      <c r="AA21" s="10">
        <v>8266.2475025200001</v>
      </c>
      <c r="AB21" s="10">
        <v>3498.4741570899996</v>
      </c>
      <c r="AC21" s="10">
        <v>750.2289323199999</v>
      </c>
      <c r="AD21" s="10">
        <v>0</v>
      </c>
      <c r="AE21" s="10">
        <v>37.515688290000043</v>
      </c>
    </row>
    <row r="22" spans="1:31" ht="15.75" x14ac:dyDescent="0.25">
      <c r="A22">
        <v>2008</v>
      </c>
      <c r="B22" s="20">
        <v>50456.887517380004</v>
      </c>
      <c r="C22" s="20">
        <v>3189.1428207600006</v>
      </c>
      <c r="D22" s="20">
        <v>50392.924666500003</v>
      </c>
      <c r="E22" s="20">
        <v>35721.998990890002</v>
      </c>
      <c r="F22" s="20">
        <v>987.75944451999999</v>
      </c>
      <c r="G22" s="20">
        <v>19495.151650120002</v>
      </c>
      <c r="H22" s="10">
        <v>3641.2669340500001</v>
      </c>
      <c r="I22" s="10">
        <v>1989.28470272</v>
      </c>
      <c r="J22" s="10">
        <v>555.09817587999999</v>
      </c>
      <c r="K22" s="10">
        <v>5886.1052435399997</v>
      </c>
      <c r="L22" s="10">
        <v>2894</v>
      </c>
      <c r="M22" s="10" t="s">
        <v>69</v>
      </c>
      <c r="N22" s="10">
        <v>15777.998338090003</v>
      </c>
      <c r="O22" s="10">
        <v>3374.9713874000008</v>
      </c>
      <c r="P22" s="10">
        <v>0</v>
      </c>
      <c r="Q22" s="10">
        <v>1354.7091222299998</v>
      </c>
      <c r="R22" s="10">
        <v>1003.1543385899998</v>
      </c>
      <c r="S22" s="10">
        <v>36055.248180549999</v>
      </c>
      <c r="T22" s="10">
        <v>8803.2710137800004</v>
      </c>
      <c r="U22" s="10">
        <v>184.63652037000003</v>
      </c>
      <c r="V22" s="10">
        <v>-1.5240800299999999</v>
      </c>
      <c r="W22" s="10">
        <v>7.8431642799999981</v>
      </c>
      <c r="X22" s="10">
        <v>0</v>
      </c>
      <c r="Y22" s="10">
        <v>1693.9225557300001</v>
      </c>
      <c r="Z22" s="10">
        <v>62245.599999999999</v>
      </c>
      <c r="AA22" s="10">
        <v>11066.676708610003</v>
      </c>
      <c r="AB22" s="10">
        <v>4678.5972055299999</v>
      </c>
      <c r="AC22" s="10">
        <v>1014.4164839699998</v>
      </c>
      <c r="AD22" s="10">
        <v>0</v>
      </c>
      <c r="AE22" s="10">
        <v>236.37649539999853</v>
      </c>
    </row>
    <row r="23" spans="1:31" ht="15.75" x14ac:dyDescent="0.25">
      <c r="A23">
        <v>2009</v>
      </c>
      <c r="B23" s="20">
        <v>53178.119484739997</v>
      </c>
      <c r="C23" s="20">
        <v>2374.2219320999998</v>
      </c>
      <c r="D23" s="20">
        <v>61393.71656565</v>
      </c>
      <c r="E23" s="20">
        <v>29723.08045415</v>
      </c>
      <c r="F23" s="20">
        <v>1212.72793424</v>
      </c>
      <c r="G23" s="20">
        <v>20561.486821600003</v>
      </c>
      <c r="H23" s="10">
        <v>4323.3146251400003</v>
      </c>
      <c r="I23" s="10">
        <v>2413.9185331899998</v>
      </c>
      <c r="J23" s="10">
        <v>658.38496875999988</v>
      </c>
      <c r="K23" s="10">
        <v>3731</v>
      </c>
      <c r="L23" s="10">
        <v>2451</v>
      </c>
      <c r="M23" s="10" t="s">
        <v>69</v>
      </c>
      <c r="N23" s="10">
        <v>18632.93020173</v>
      </c>
      <c r="O23" s="10">
        <v>4041.1057688400001</v>
      </c>
      <c r="P23" s="10">
        <v>0</v>
      </c>
      <c r="Q23" s="10">
        <v>1549.84476187</v>
      </c>
      <c r="R23" s="10">
        <v>1828.8431293899998</v>
      </c>
      <c r="S23" s="10">
        <v>32041.529789710003</v>
      </c>
      <c r="T23" s="10">
        <v>7525.6373231000007</v>
      </c>
      <c r="U23" s="10">
        <v>174.15090641</v>
      </c>
      <c r="V23" s="10">
        <v>8.0459310000000006E-2</v>
      </c>
      <c r="W23" s="10">
        <v>5.4592179700000001</v>
      </c>
      <c r="X23" s="10">
        <v>1335.3676552699999</v>
      </c>
      <c r="Y23" s="10">
        <v>118.32748441000007</v>
      </c>
      <c r="Z23" s="10">
        <v>76277.3</v>
      </c>
      <c r="AA23" s="10">
        <v>15193.205216369999</v>
      </c>
      <c r="AB23" s="10">
        <v>5657.7705247100002</v>
      </c>
      <c r="AC23" s="10">
        <v>1285.85561138</v>
      </c>
      <c r="AD23" s="10">
        <v>0</v>
      </c>
      <c r="AE23" s="10">
        <v>900.99682347999942</v>
      </c>
    </row>
    <row r="24" spans="1:31" ht="15.75" x14ac:dyDescent="0.25">
      <c r="A24">
        <v>2010</v>
      </c>
      <c r="B24" s="20">
        <v>72974.680610940006</v>
      </c>
      <c r="C24" s="20">
        <v>3676.9450706499993</v>
      </c>
      <c r="D24" s="20">
        <v>76711.072238749999</v>
      </c>
      <c r="E24" s="20">
        <v>43339.914923460005</v>
      </c>
      <c r="F24" s="20">
        <v>1647.8232645200001</v>
      </c>
      <c r="G24" s="20">
        <v>26884.733150659995</v>
      </c>
      <c r="H24" s="10">
        <v>5081.4225938900008</v>
      </c>
      <c r="I24" s="10">
        <v>4420.5785431900003</v>
      </c>
      <c r="J24" s="10">
        <v>786.00013500000011</v>
      </c>
      <c r="K24" s="10">
        <v>3665</v>
      </c>
      <c r="L24" s="10">
        <v>3056</v>
      </c>
      <c r="M24" s="10" t="s">
        <v>69</v>
      </c>
      <c r="N24" s="10">
        <v>24177.942778239998</v>
      </c>
      <c r="O24" s="10">
        <v>5146.7917234999986</v>
      </c>
      <c r="P24" s="10">
        <v>0</v>
      </c>
      <c r="Q24" s="10">
        <v>2092.5527004299997</v>
      </c>
      <c r="R24" s="10">
        <v>1368.9454434099998</v>
      </c>
      <c r="S24" s="10">
        <v>45547.352451030005</v>
      </c>
      <c r="T24" s="10">
        <v>11182.62680939</v>
      </c>
      <c r="U24" s="10">
        <v>245.68591599000001</v>
      </c>
      <c r="V24" s="10">
        <v>-1.0374283500000001</v>
      </c>
      <c r="W24" s="10">
        <v>7.4077251499999992</v>
      </c>
      <c r="X24" s="10">
        <v>2088.9166440600002</v>
      </c>
      <c r="Y24" s="10">
        <v>162.91047699999999</v>
      </c>
      <c r="Z24" s="10">
        <v>99276.000000000015</v>
      </c>
      <c r="AA24" s="10">
        <v>19609.98449898</v>
      </c>
      <c r="AB24" s="10">
        <v>8657.0658823400008</v>
      </c>
      <c r="AC24" s="10">
        <v>2669.9324859400003</v>
      </c>
      <c r="AD24" s="10">
        <v>2.3880094700000001</v>
      </c>
      <c r="AE24" s="10">
        <v>290.61401102999804</v>
      </c>
    </row>
    <row r="25" spans="1:31" ht="15.75" x14ac:dyDescent="0.25">
      <c r="A25">
        <v>2011</v>
      </c>
      <c r="B25" s="20">
        <v>103139.96081784002</v>
      </c>
      <c r="C25" s="20">
        <v>5457.9204481800007</v>
      </c>
      <c r="D25" s="20">
        <v>100402.30582171999</v>
      </c>
      <c r="E25" s="20">
        <v>57663.584456600001</v>
      </c>
      <c r="F25" s="20">
        <v>1356.94257973</v>
      </c>
      <c r="G25" s="20">
        <v>36179.501435959995</v>
      </c>
      <c r="H25" s="10">
        <v>6282.6665888999996</v>
      </c>
      <c r="I25" s="10">
        <v>4673.6295786300007</v>
      </c>
      <c r="J25" s="10">
        <v>1026.2671377499998</v>
      </c>
      <c r="K25" s="10">
        <v>3829</v>
      </c>
      <c r="L25" s="10">
        <v>4690</v>
      </c>
      <c r="M25" s="10" t="s">
        <v>69</v>
      </c>
      <c r="N25" s="10">
        <v>28200.5699848</v>
      </c>
      <c r="O25" s="10">
        <v>5891.9785779699996</v>
      </c>
      <c r="P25" s="10">
        <v>0</v>
      </c>
      <c r="Q25" s="10">
        <v>2983.0367903399997</v>
      </c>
      <c r="R25" s="10">
        <v>1849.6675997899999</v>
      </c>
      <c r="S25" s="10">
        <v>54163.331559400001</v>
      </c>
      <c r="T25" s="10">
        <v>14372.573220620001</v>
      </c>
      <c r="U25" s="10">
        <v>304.93657260000003</v>
      </c>
      <c r="V25" s="10">
        <v>-0.42490894000000001</v>
      </c>
      <c r="W25" s="10">
        <v>8.303686729999999</v>
      </c>
      <c r="X25" s="10">
        <v>2886.8570189900001</v>
      </c>
      <c r="Y25" s="10">
        <v>238.75275011000002</v>
      </c>
      <c r="Z25" s="10">
        <v>133811.5</v>
      </c>
      <c r="AA25" s="10">
        <v>27007.656630429999</v>
      </c>
      <c r="AB25" s="10">
        <v>12337.517143839999</v>
      </c>
      <c r="AC25" s="10">
        <v>3097.3698067099999</v>
      </c>
      <c r="AD25" s="10">
        <v>140.42223453999998</v>
      </c>
      <c r="AE25" s="10">
        <v>709.62549137999918</v>
      </c>
    </row>
    <row r="26" spans="1:31" ht="15.75" x14ac:dyDescent="0.25">
      <c r="A26">
        <v>2012</v>
      </c>
      <c r="B26" s="20">
        <v>131597.66784292998</v>
      </c>
      <c r="C26" s="20">
        <v>6841.9724563999998</v>
      </c>
      <c r="D26" s="20">
        <v>133816.32653745997</v>
      </c>
      <c r="E26" s="20">
        <v>59250.923588539998</v>
      </c>
      <c r="F26" s="20">
        <v>1443.0145270400001</v>
      </c>
      <c r="G26" s="20">
        <v>43931.146631040006</v>
      </c>
      <c r="H26" s="10">
        <v>7512.5410809000014</v>
      </c>
      <c r="I26" s="10">
        <v>5519.7131493700008</v>
      </c>
      <c r="J26" s="10">
        <v>1197.0351701500001</v>
      </c>
      <c r="K26" s="10">
        <v>2570.8230000000003</v>
      </c>
      <c r="L26" s="10">
        <v>1987</v>
      </c>
      <c r="M26" s="10" t="s">
        <v>69</v>
      </c>
      <c r="N26" s="10">
        <v>40221.247660520006</v>
      </c>
      <c r="O26" s="10">
        <v>7262.7468097599995</v>
      </c>
      <c r="P26" s="10">
        <v>0</v>
      </c>
      <c r="Q26" s="10">
        <v>3825.1074822700002</v>
      </c>
      <c r="R26" s="10">
        <v>2130.0128027399996</v>
      </c>
      <c r="S26" s="10">
        <v>61315.851289930004</v>
      </c>
      <c r="T26" s="10">
        <v>16312.606119490001</v>
      </c>
      <c r="U26" s="10">
        <v>327.39182287</v>
      </c>
      <c r="V26" s="10">
        <v>-0.2546652000000002</v>
      </c>
      <c r="W26" s="10">
        <v>9.7600193200000014</v>
      </c>
      <c r="X26" s="10">
        <v>3098.3040817200003</v>
      </c>
      <c r="Y26" s="10">
        <v>347.97319660999995</v>
      </c>
      <c r="Z26" s="10">
        <v>175255.09999999998</v>
      </c>
      <c r="AA26" s="10">
        <v>36001.01188523</v>
      </c>
      <c r="AB26" s="10">
        <v>16225.889086019999</v>
      </c>
      <c r="AC26" s="10">
        <v>3957.0576825199996</v>
      </c>
      <c r="AD26" s="10">
        <v>201.08387486000001</v>
      </c>
      <c r="AE26" s="10">
        <v>933.65910418000215</v>
      </c>
    </row>
    <row r="27" spans="1:31" ht="15.75" x14ac:dyDescent="0.25">
      <c r="A27">
        <v>2013</v>
      </c>
      <c r="B27" s="20">
        <v>172437.86352090002</v>
      </c>
      <c r="C27" s="20">
        <v>11160.840296750002</v>
      </c>
      <c r="D27" s="20">
        <v>170383.53005659999</v>
      </c>
      <c r="E27" s="20">
        <v>81359.501947600002</v>
      </c>
      <c r="F27" s="20">
        <v>1728.4425112500001</v>
      </c>
      <c r="G27" s="20">
        <v>56514.874276040005</v>
      </c>
      <c r="H27" s="10">
        <v>9059.4597119999999</v>
      </c>
      <c r="I27" s="10">
        <v>7430.7220030000008</v>
      </c>
      <c r="J27" s="10">
        <v>1392.2693061</v>
      </c>
      <c r="K27" s="10">
        <v>2737</v>
      </c>
      <c r="L27" s="10">
        <v>5393.9</v>
      </c>
      <c r="M27" s="10" t="s">
        <v>69</v>
      </c>
      <c r="N27" s="10">
        <v>47050.495557510003</v>
      </c>
      <c r="O27" s="10">
        <v>10296.305859020002</v>
      </c>
      <c r="P27" s="10">
        <v>0</v>
      </c>
      <c r="Q27" s="10">
        <v>4422.8907390000004</v>
      </c>
      <c r="R27" s="10">
        <v>2545.1587829999999</v>
      </c>
      <c r="S27" s="10">
        <v>55465.251568079992</v>
      </c>
      <c r="T27" s="10">
        <v>23134.35241</v>
      </c>
      <c r="U27" s="10">
        <v>416.16845270000005</v>
      </c>
      <c r="V27" s="10">
        <v>0.10062572</v>
      </c>
      <c r="W27" s="10">
        <v>5.7450395500000004</v>
      </c>
      <c r="X27" s="10">
        <v>5995.4328929999992</v>
      </c>
      <c r="Y27" s="10">
        <v>337.19207789999996</v>
      </c>
      <c r="Z27" s="10">
        <v>229821.2</v>
      </c>
      <c r="AA27" s="10">
        <v>46416.378279999997</v>
      </c>
      <c r="AB27" s="10">
        <v>23342.266670000001</v>
      </c>
      <c r="AC27" s="10">
        <v>5124.8569810000008</v>
      </c>
      <c r="AD27" s="10">
        <v>182.24605460000001</v>
      </c>
      <c r="AE27" s="10">
        <v>-1313.3735688000002</v>
      </c>
    </row>
    <row r="28" spans="1:31" ht="15.75" x14ac:dyDescent="0.25">
      <c r="A28">
        <v>2014</v>
      </c>
      <c r="B28" s="20">
        <v>251365.73770276003</v>
      </c>
      <c r="C28" s="20">
        <v>15709.378792420001</v>
      </c>
      <c r="D28" s="20">
        <v>231260.45533605997</v>
      </c>
      <c r="E28" s="20">
        <v>104965.39364840998</v>
      </c>
      <c r="F28" s="20">
        <v>2290.8685557700001</v>
      </c>
      <c r="G28" s="20">
        <v>76739.845221669995</v>
      </c>
      <c r="H28" s="10">
        <v>12925.35303661</v>
      </c>
      <c r="I28" s="10">
        <v>9494.4338369100005</v>
      </c>
      <c r="J28" s="10">
        <v>2013.2715997099997</v>
      </c>
      <c r="K28" s="10">
        <v>5023.0230000000001</v>
      </c>
      <c r="L28" s="10">
        <v>11215.3</v>
      </c>
      <c r="M28" s="10" t="s">
        <v>69</v>
      </c>
      <c r="N28" s="10">
        <v>68414.064971069994</v>
      </c>
      <c r="O28" s="10">
        <v>14355.658194170001</v>
      </c>
      <c r="P28" s="10">
        <v>0</v>
      </c>
      <c r="Q28" s="10">
        <v>4259.2894205000002</v>
      </c>
      <c r="R28" s="10">
        <v>3281.5609569499998</v>
      </c>
      <c r="S28" s="10">
        <v>84088.165612200013</v>
      </c>
      <c r="T28" s="10">
        <v>29482.272601799999</v>
      </c>
      <c r="U28" s="10">
        <v>576.17580540000006</v>
      </c>
      <c r="V28" s="10">
        <v>0.35379699000000003</v>
      </c>
      <c r="W28" s="10">
        <v>40.116917370000003</v>
      </c>
      <c r="X28" s="10">
        <v>7614.6466614300016</v>
      </c>
      <c r="Y28" s="10">
        <v>453.68477145000003</v>
      </c>
      <c r="Z28" s="10">
        <v>298456.90000000002</v>
      </c>
      <c r="AA28" s="10">
        <v>61145.429162299995</v>
      </c>
      <c r="AB28" s="10">
        <v>32208.887570360002</v>
      </c>
      <c r="AC28" s="10">
        <v>7750.5124563900026</v>
      </c>
      <c r="AD28" s="10">
        <v>237.29934903999995</v>
      </c>
      <c r="AE28" s="10">
        <v>1339.7669440399982</v>
      </c>
    </row>
    <row r="29" spans="1:31" ht="15.75" x14ac:dyDescent="0.25">
      <c r="A29">
        <v>2015</v>
      </c>
      <c r="B29" s="20">
        <v>363332.29534051998</v>
      </c>
      <c r="C29" s="20">
        <v>18130.949234740001</v>
      </c>
      <c r="D29" s="20">
        <v>316336.39893667999</v>
      </c>
      <c r="E29" s="20">
        <v>122163.31750273998</v>
      </c>
      <c r="F29" s="20">
        <v>2513.3320095499998</v>
      </c>
      <c r="G29" s="20">
        <v>97479.559886709991</v>
      </c>
      <c r="H29" s="10">
        <v>19497.062423849995</v>
      </c>
      <c r="I29" s="10">
        <v>11517.713887059999</v>
      </c>
      <c r="J29" s="10">
        <v>2940.4327162299996</v>
      </c>
      <c r="K29" s="10">
        <v>5423.4000000000005</v>
      </c>
      <c r="L29" s="10">
        <v>8831</v>
      </c>
      <c r="M29" s="10" t="s">
        <v>69</v>
      </c>
      <c r="N29" s="10">
        <v>87502.942391860008</v>
      </c>
      <c r="O29" s="10">
        <v>18210.41193857</v>
      </c>
      <c r="P29" s="10">
        <v>0</v>
      </c>
      <c r="Q29" s="10">
        <v>5624.1257007900012</v>
      </c>
      <c r="R29" s="10">
        <v>4600.3240367399994</v>
      </c>
      <c r="S29" s="10">
        <v>75939.249880539996</v>
      </c>
      <c r="T29" s="10">
        <v>34821.671826979997</v>
      </c>
      <c r="U29" s="10">
        <v>690.64445890999991</v>
      </c>
      <c r="V29" s="10">
        <v>1.4410178599999999</v>
      </c>
      <c r="W29" s="10">
        <v>35.194924129999997</v>
      </c>
      <c r="X29" s="10">
        <v>8757.1497426800015</v>
      </c>
      <c r="Y29" s="10">
        <v>536.83986167</v>
      </c>
      <c r="Z29" s="10">
        <v>403545.7</v>
      </c>
      <c r="AA29" s="10">
        <v>81752.622365269985</v>
      </c>
      <c r="AB29" s="10">
        <v>47774.806828059998</v>
      </c>
      <c r="AC29" s="10">
        <v>11089.58892726</v>
      </c>
      <c r="AD29" s="10">
        <v>328.56248402</v>
      </c>
      <c r="AE29" s="10">
        <v>1306.2386722399938</v>
      </c>
    </row>
    <row r="30" spans="1:31" ht="15.75" x14ac:dyDescent="0.25">
      <c r="A30">
        <v>2016</v>
      </c>
      <c r="B30" s="20">
        <v>404349.96798877994</v>
      </c>
      <c r="C30" s="20">
        <v>28557.186045399998</v>
      </c>
      <c r="D30" s="20">
        <v>406119.82616985001</v>
      </c>
      <c r="E30" s="20">
        <v>183029.11017582004</v>
      </c>
      <c r="F30" s="20">
        <v>3246.3320374</v>
      </c>
      <c r="G30" s="20">
        <v>131669.07898259</v>
      </c>
      <c r="H30" s="10">
        <v>32655.418323850001</v>
      </c>
      <c r="I30" s="10">
        <v>14336.02200112</v>
      </c>
      <c r="J30" s="10">
        <v>4237.8436545599998</v>
      </c>
      <c r="K30" s="10">
        <v>5932</v>
      </c>
      <c r="L30" s="10">
        <v>14983</v>
      </c>
      <c r="M30" s="10" t="s">
        <v>69</v>
      </c>
      <c r="N30" s="10">
        <v>119204.48774475002</v>
      </c>
      <c r="O30" s="10">
        <v>19540.724132390002</v>
      </c>
      <c r="P30" s="10">
        <v>0</v>
      </c>
      <c r="Q30" s="10">
        <v>6873.037761059999</v>
      </c>
      <c r="R30" s="10">
        <v>113315.4811722</v>
      </c>
      <c r="S30" s="10">
        <v>71509.127182550001</v>
      </c>
      <c r="T30" s="10">
        <v>55305.133536349997</v>
      </c>
      <c r="U30" s="10">
        <v>1059.51548576</v>
      </c>
      <c r="V30" s="10">
        <v>0.87443987999999995</v>
      </c>
      <c r="W30" s="10">
        <v>38.490330270000001</v>
      </c>
      <c r="X30" s="10">
        <v>13847.07971478</v>
      </c>
      <c r="Y30" s="10">
        <v>703.1206914600001</v>
      </c>
      <c r="Z30" s="10">
        <v>536978.19999999995</v>
      </c>
      <c r="AA30" s="10">
        <v>108665.74165807999</v>
      </c>
      <c r="AB30" s="10">
        <v>63810.90283086001</v>
      </c>
      <c r="AC30" s="10">
        <v>14039.80190905</v>
      </c>
      <c r="AD30" s="10">
        <v>458.63596008000002</v>
      </c>
      <c r="AE30" s="10">
        <v>3951.8027213600044</v>
      </c>
    </row>
    <row r="31" spans="1:31" ht="15.75" x14ac:dyDescent="0.25">
      <c r="A31">
        <v>2017</v>
      </c>
      <c r="B31" s="20">
        <v>520107.19322344998</v>
      </c>
      <c r="C31" s="20">
        <v>34915.77931867</v>
      </c>
      <c r="D31" s="20">
        <v>542114.7988883201</v>
      </c>
      <c r="E31" s="20">
        <v>243727.48798273003</v>
      </c>
      <c r="F31" s="20">
        <v>2560.4689960199998</v>
      </c>
      <c r="G31" s="20">
        <v>172838.48224308999</v>
      </c>
      <c r="H31" s="10">
        <v>46801.289623069999</v>
      </c>
      <c r="I31" s="10">
        <v>22184.04722167</v>
      </c>
      <c r="J31" s="10">
        <v>5750.4799269900004</v>
      </c>
      <c r="K31" s="10">
        <v>20506</v>
      </c>
      <c r="L31" s="10">
        <v>24953.096508980001</v>
      </c>
      <c r="M31" s="10" t="s">
        <v>69</v>
      </c>
      <c r="N31" s="10">
        <v>159100.13177071998</v>
      </c>
      <c r="O31" s="10">
        <v>22165.134850200004</v>
      </c>
      <c r="P31" s="10">
        <v>0</v>
      </c>
      <c r="Q31" s="10">
        <v>10544.045015439999</v>
      </c>
      <c r="R31" s="10">
        <v>52099.216669880007</v>
      </c>
      <c r="S31" s="10">
        <v>66121.399115819993</v>
      </c>
      <c r="T31" s="10">
        <v>69259.125992060013</v>
      </c>
      <c r="U31" s="10">
        <v>1376.0599288199999</v>
      </c>
      <c r="V31" s="10">
        <v>4.8222360000000006E-2</v>
      </c>
      <c r="W31" s="10">
        <v>7.2226038999999993</v>
      </c>
      <c r="X31" s="10">
        <v>19737.871775320004</v>
      </c>
      <c r="Y31" s="10">
        <v>736.40787925000006</v>
      </c>
      <c r="Z31" s="10">
        <v>703454.1</v>
      </c>
      <c r="AA31" s="10">
        <v>142003.04535874</v>
      </c>
      <c r="AB31" s="10">
        <v>80368.331289289999</v>
      </c>
      <c r="AC31" s="10">
        <v>20092.535413090001</v>
      </c>
      <c r="AD31" s="10">
        <v>682.7388780299998</v>
      </c>
      <c r="AE31" s="10">
        <v>5183.0573974299996</v>
      </c>
    </row>
    <row r="32" spans="1:31" ht="15.75" x14ac:dyDescent="0.25">
      <c r="A32">
        <v>2018</v>
      </c>
      <c r="B32" s="20">
        <v>689500.34022585</v>
      </c>
      <c r="C32" s="20">
        <v>52552.045515949998</v>
      </c>
      <c r="D32" s="20">
        <v>767719.2748450099</v>
      </c>
      <c r="E32" s="20">
        <v>360261.01492909004</v>
      </c>
      <c r="F32" s="20">
        <v>2054.7685449400005</v>
      </c>
      <c r="G32" s="20">
        <v>234299.93497478004</v>
      </c>
      <c r="H32" s="10">
        <v>51347.180694889998</v>
      </c>
      <c r="I32" s="10">
        <v>23976.644332870001</v>
      </c>
      <c r="J32" s="10">
        <v>6813.5815139600008</v>
      </c>
      <c r="K32" s="10">
        <v>23400</v>
      </c>
      <c r="L32" s="10">
        <v>34600</v>
      </c>
      <c r="M32" s="10" t="s">
        <v>69</v>
      </c>
      <c r="N32" s="10">
        <v>165009.00787651</v>
      </c>
      <c r="O32" s="10">
        <v>14517.153811659999</v>
      </c>
      <c r="P32" s="10">
        <v>0</v>
      </c>
      <c r="Q32" s="10">
        <v>16052.307789020002</v>
      </c>
      <c r="R32" s="10">
        <v>15015.449846269999</v>
      </c>
      <c r="S32" s="10">
        <v>114160.35689253001</v>
      </c>
      <c r="T32" s="10">
        <v>104990.75046726</v>
      </c>
      <c r="U32" s="10">
        <v>2187.31189047</v>
      </c>
      <c r="V32" s="10">
        <v>1.5001100000000002E-3</v>
      </c>
      <c r="W32" s="10">
        <v>5.611230599999999</v>
      </c>
      <c r="X32" s="10">
        <v>28735.06710412</v>
      </c>
      <c r="Y32" s="10">
        <v>1025.3765667600001</v>
      </c>
      <c r="Z32" s="10">
        <v>879054.89999999991</v>
      </c>
      <c r="AA32" s="10">
        <v>179284.06145318001</v>
      </c>
      <c r="AB32" s="10">
        <v>92857.395846640007</v>
      </c>
      <c r="AC32" s="10">
        <v>26388.441567309997</v>
      </c>
      <c r="AD32" s="10">
        <v>861.60652735999997</v>
      </c>
      <c r="AE32" s="10">
        <v>-8660.343898599991</v>
      </c>
    </row>
    <row r="33" spans="1:31" ht="15.75" x14ac:dyDescent="0.25">
      <c r="A33">
        <v>2019</v>
      </c>
      <c r="B33" s="20">
        <v>1025827.7976893299</v>
      </c>
      <c r="C33" s="20">
        <v>70693.444279499992</v>
      </c>
      <c r="D33" s="20">
        <v>1097200.3673955</v>
      </c>
      <c r="E33" s="20">
        <v>481095.76946122001</v>
      </c>
      <c r="F33" s="20">
        <v>2715.6932150500002</v>
      </c>
      <c r="G33" s="20">
        <v>349559.15842997003</v>
      </c>
      <c r="H33" s="10">
        <v>69570.815960340013</v>
      </c>
      <c r="I33" s="10">
        <v>26261.482508919999</v>
      </c>
      <c r="J33" s="10">
        <v>9403.5523063600012</v>
      </c>
      <c r="K33" s="10">
        <v>45700</v>
      </c>
      <c r="L33" s="10">
        <v>29270</v>
      </c>
      <c r="M33" s="10" t="s">
        <v>69</v>
      </c>
      <c r="N33" s="10">
        <v>234819.57658394001</v>
      </c>
      <c r="O33" s="10">
        <v>31183.73432095</v>
      </c>
      <c r="P33" s="10">
        <v>0</v>
      </c>
      <c r="Q33" s="10">
        <v>20634.928628129997</v>
      </c>
      <c r="R33" s="10">
        <v>18026.393834049999</v>
      </c>
      <c r="S33" s="10">
        <v>398311.83357690007</v>
      </c>
      <c r="T33" s="10">
        <v>132405.11140426999</v>
      </c>
      <c r="U33" s="10">
        <v>30670.529801740002</v>
      </c>
      <c r="V33" s="10">
        <v>1.6671146300000002</v>
      </c>
      <c r="W33" s="10">
        <v>30.351958059999994</v>
      </c>
      <c r="X33" s="10">
        <v>36369.183376340006</v>
      </c>
      <c r="Y33" s="10">
        <v>1253.1196971099996</v>
      </c>
      <c r="Z33" s="10">
        <v>1177531.7</v>
      </c>
      <c r="AA33" s="10">
        <v>249650.45733622002</v>
      </c>
      <c r="AB33" s="10">
        <v>123442.08104772998</v>
      </c>
      <c r="AC33" s="10">
        <v>35011.887137269994</v>
      </c>
      <c r="AD33" s="10">
        <v>1059.28707005</v>
      </c>
      <c r="AE33" s="10">
        <v>-1069.4228329799853</v>
      </c>
    </row>
    <row r="34" spans="1:31" ht="15.75" x14ac:dyDescent="0.25">
      <c r="A34">
        <v>2020</v>
      </c>
      <c r="B34" s="20">
        <v>1371188.5475646199</v>
      </c>
      <c r="C34" s="20">
        <v>96114.801743739998</v>
      </c>
      <c r="D34" s="20">
        <v>1289513.5605788601</v>
      </c>
      <c r="E34" s="20">
        <v>662047.23283992009</v>
      </c>
      <c r="F34" s="20">
        <v>8219.2051720999989</v>
      </c>
      <c r="G34" s="20">
        <v>452459.11763492</v>
      </c>
      <c r="H34" s="10">
        <v>101944.15838654</v>
      </c>
      <c r="I34" s="10">
        <v>63684.121525800001</v>
      </c>
      <c r="J34" s="10">
        <v>13384.564438539999</v>
      </c>
      <c r="K34" s="10">
        <v>46175.700000000004</v>
      </c>
      <c r="L34" s="10">
        <v>32181.599999999999</v>
      </c>
      <c r="M34" s="10" t="s">
        <v>69</v>
      </c>
      <c r="N34" s="10">
        <v>207381.60540047998</v>
      </c>
      <c r="O34" s="10">
        <v>322692.82081957004</v>
      </c>
      <c r="P34" s="10">
        <v>221789.83055899001</v>
      </c>
      <c r="Q34" s="10">
        <v>18101.368295849999</v>
      </c>
      <c r="R34" s="10">
        <v>387642.7461931</v>
      </c>
      <c r="S34" s="10">
        <v>164888.14696769003</v>
      </c>
      <c r="T34" s="10">
        <v>34848.48083642</v>
      </c>
      <c r="U34" s="10">
        <v>6.1062039999999998E-2</v>
      </c>
      <c r="V34" s="10">
        <v>19.994015430000001</v>
      </c>
      <c r="W34" s="10">
        <v>53282.508196939998</v>
      </c>
      <c r="X34" s="10">
        <v>1151.2158190800001</v>
      </c>
      <c r="Y34" s="10">
        <v>608227.33924802998</v>
      </c>
      <c r="Z34" s="10">
        <v>877361.77273646987</v>
      </c>
      <c r="AA34" s="10">
        <v>336565.59656001005</v>
      </c>
      <c r="AB34" s="10">
        <v>155690.95413574998</v>
      </c>
      <c r="AC34" s="10">
        <v>52017.919793969995</v>
      </c>
      <c r="AD34" s="10">
        <v>1343.1030402900001</v>
      </c>
      <c r="AE34" s="10">
        <v>6216.5026234999987</v>
      </c>
    </row>
    <row r="35" spans="1:31" x14ac:dyDescent="0.25">
      <c r="A35">
        <v>2021</v>
      </c>
      <c r="B35" s="20">
        <f>SUM('96-21'!B310:B321)</f>
        <v>138275.728</v>
      </c>
      <c r="C35" s="20">
        <f>SUM('96-21'!C310:C321)</f>
        <v>11309.181920000001</v>
      </c>
      <c r="D35" s="20">
        <f>SUM('96-21'!D310:D321)</f>
        <v>157595.06635565002</v>
      </c>
      <c r="E35" s="20">
        <f>SUM('96-21'!E310:E321)</f>
        <v>82736.538815619992</v>
      </c>
      <c r="F35" s="20">
        <f>SUM('96-21'!F310:F321)</f>
        <v>47.825704730000012</v>
      </c>
      <c r="G35" s="20">
        <f>SUM('96-21'!G310:G321)</f>
        <v>48171.015048909998</v>
      </c>
      <c r="H35" s="20">
        <f>SUM('96-21'!H310:H321)</f>
        <v>10187.77412143</v>
      </c>
      <c r="I35" s="20">
        <f>SUM('96-21'!I310:I321)</f>
        <v>7589.6503439999997</v>
      </c>
      <c r="J35" s="20">
        <f>SUM('96-21'!J310:J321)</f>
        <v>1449.5916239000003</v>
      </c>
      <c r="K35" s="20">
        <f>SUM('96-21'!K310:K321)</f>
        <v>7500</v>
      </c>
      <c r="L35" s="20">
        <f>SUM('96-21'!L310:L321)</f>
        <v>5500</v>
      </c>
      <c r="M35" s="20" t="s">
        <v>69</v>
      </c>
      <c r="N35" s="20">
        <f>SUM('96-21'!N310:N321)</f>
        <v>18992.34089924</v>
      </c>
      <c r="O35" s="20">
        <f>SUM('96-21'!O310:O321)</f>
        <v>5652.2667371000007</v>
      </c>
      <c r="P35" s="20">
        <f>SUM('96-21'!P310:P321)</f>
        <v>8347.366088859997</v>
      </c>
      <c r="Q35" s="20">
        <f>SUM('96-21'!Q310:Q321)</f>
        <v>2127.6052116999999</v>
      </c>
      <c r="R35" s="20">
        <f>SUM('96-21'!R310:R321)</f>
        <v>2365.2076662900004</v>
      </c>
      <c r="S35" s="20">
        <f>SUM('96-21'!S310:S321)</f>
        <v>79423.220347680006</v>
      </c>
      <c r="T35" s="20">
        <f>SUM('96-21'!T310:T321)</f>
        <v>20249.20135716</v>
      </c>
      <c r="U35" s="20">
        <f>SUM('96-21'!U310:U321)</f>
        <v>4193.0436447399998</v>
      </c>
      <c r="V35" s="20">
        <f>SUM('96-21'!V310:V321)</f>
        <v>7.0706999999999996E-4</v>
      </c>
      <c r="W35" s="20">
        <f>SUM('96-21'!W310:W321)</f>
        <v>1.1417261300000001</v>
      </c>
      <c r="X35" s="20">
        <f>SUM('96-21'!X310:X321)</f>
        <v>6245.8526021999996</v>
      </c>
      <c r="Y35" s="20">
        <f>SUM('96-21'!Y310:Y321)</f>
        <v>163.47136287000001</v>
      </c>
      <c r="Z35" s="20">
        <f>SUM('96-21'!Z310:Z321)</f>
        <v>188750.4465974</v>
      </c>
      <c r="AA35" s="20">
        <f>SUM('96-21'!AA310:AA321)</f>
        <v>43602.736739849999</v>
      </c>
      <c r="AB35" s="20">
        <f>SUM('96-21'!AB310:AB321)</f>
        <v>19246.59763452</v>
      </c>
      <c r="AC35" s="20">
        <f>SUM('96-21'!AC310:AC321)</f>
        <v>4578.2178127400011</v>
      </c>
      <c r="AD35" s="20">
        <f>SUM('96-21'!AD310:AD321)</f>
        <v>120.85498691999999</v>
      </c>
      <c r="AE35" s="20">
        <f>SUM('96-21'!AE310:AE321)</f>
        <v>-1025.8632619199939</v>
      </c>
    </row>
  </sheetData>
  <mergeCells count="29">
    <mergeCell ref="N8:N9"/>
    <mergeCell ref="A6:A9"/>
    <mergeCell ref="B6:AC6"/>
    <mergeCell ref="S7:Y7"/>
    <mergeCell ref="Z7:AE7"/>
    <mergeCell ref="B8:C8"/>
    <mergeCell ref="D8:E8"/>
    <mergeCell ref="F8:F9"/>
    <mergeCell ref="G8:G9"/>
    <mergeCell ref="H8:I8"/>
    <mergeCell ref="W8:W9"/>
    <mergeCell ref="J8:J9"/>
    <mergeCell ref="K8:M8"/>
    <mergeCell ref="O8:O9"/>
    <mergeCell ref="P8:P9"/>
    <mergeCell ref="Q8:Q9"/>
    <mergeCell ref="R8:R9"/>
    <mergeCell ref="S8:S9"/>
    <mergeCell ref="T8:T9"/>
    <mergeCell ref="U8:U9"/>
    <mergeCell ref="V8:V9"/>
    <mergeCell ref="AD8:AD9"/>
    <mergeCell ref="AE8:AE9"/>
    <mergeCell ref="X8:X9"/>
    <mergeCell ref="Y8:Y9"/>
    <mergeCell ref="Z8:Z9"/>
    <mergeCell ref="AA8:AA9"/>
    <mergeCell ref="AB8:AB9"/>
    <mergeCell ref="AC8:AC9"/>
  </mergeCells>
  <hyperlinks>
    <hyperlink ref="B4" r:id="rId1" xr:uid="{7ADBB20B-0A65-4468-B5EA-0E1346EEE7E3}"/>
    <hyperlink ref="E4" location="INDICE!A1" display="Volver al indice" xr:uid="{D01F9EEE-59AB-4EDC-99FE-EF40D76BCC5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AAA97-21C3-414C-B27A-F7B2CD92E31A}">
  <dimension ref="A1:AP97"/>
  <sheetViews>
    <sheetView zoomScaleNormal="100" workbookViewId="0">
      <pane xSplit="1" ySplit="8" topLeftCell="B9" activePane="bottomRight" state="frozen"/>
      <selection pane="topRight" activeCell="B1" sqref="B1"/>
      <selection pane="bottomLeft" activeCell="A5" sqref="A5"/>
      <selection pane="bottomRight" activeCell="E4" sqref="E4"/>
    </sheetView>
  </sheetViews>
  <sheetFormatPr baseColWidth="10" defaultColWidth="11.42578125" defaultRowHeight="15" x14ac:dyDescent="0.25"/>
  <sheetData>
    <row r="1" spans="1:38" ht="23.25" x14ac:dyDescent="0.35">
      <c r="A1" s="17" t="s">
        <v>25</v>
      </c>
    </row>
    <row r="2" spans="1:38" ht="21" x14ac:dyDescent="0.35">
      <c r="A2" s="18" t="s">
        <v>26</v>
      </c>
    </row>
    <row r="3" spans="1:38" x14ac:dyDescent="0.25">
      <c r="A3" t="s">
        <v>27</v>
      </c>
    </row>
    <row r="4" spans="1:38" x14ac:dyDescent="0.25">
      <c r="A4" t="s">
        <v>28</v>
      </c>
      <c r="B4" s="35" t="s">
        <v>29</v>
      </c>
      <c r="E4" s="35" t="s">
        <v>30</v>
      </c>
    </row>
    <row r="6" spans="1:38" ht="15.75" x14ac:dyDescent="0.25">
      <c r="A6" s="52" t="s">
        <v>31</v>
      </c>
      <c r="B6" s="56" t="s">
        <v>33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5" t="s">
        <v>34</v>
      </c>
      <c r="AC6" s="56"/>
      <c r="AD6" s="56"/>
      <c r="AE6" s="56"/>
      <c r="AF6" s="56"/>
      <c r="AG6" s="56"/>
      <c r="AH6" s="56"/>
      <c r="AI6" s="57"/>
      <c r="AJ6" s="58" t="s">
        <v>35</v>
      </c>
      <c r="AK6" s="59"/>
      <c r="AL6" s="59"/>
    </row>
    <row r="7" spans="1:38" ht="15.75" x14ac:dyDescent="0.25">
      <c r="A7" s="52"/>
      <c r="B7" s="56" t="s">
        <v>36</v>
      </c>
      <c r="C7" s="57"/>
      <c r="D7" s="56" t="s">
        <v>37</v>
      </c>
      <c r="E7" s="56"/>
      <c r="F7" s="47" t="s">
        <v>38</v>
      </c>
      <c r="G7" s="47" t="s">
        <v>39</v>
      </c>
      <c r="H7" s="46" t="s">
        <v>174</v>
      </c>
      <c r="I7" s="46" t="s">
        <v>175</v>
      </c>
      <c r="J7" s="60" t="s">
        <v>40</v>
      </c>
      <c r="K7" s="60"/>
      <c r="L7" s="60"/>
      <c r="M7" s="60"/>
      <c r="N7" s="46" t="s">
        <v>41</v>
      </c>
      <c r="O7" s="60" t="s">
        <v>42</v>
      </c>
      <c r="P7" s="60"/>
      <c r="Q7" s="61"/>
      <c r="R7" s="62" t="s">
        <v>176</v>
      </c>
      <c r="S7" s="60"/>
      <c r="T7" s="60"/>
      <c r="U7" s="60"/>
      <c r="V7" s="60"/>
      <c r="W7" s="47" t="s">
        <v>44</v>
      </c>
      <c r="X7" s="46" t="s">
        <v>46</v>
      </c>
      <c r="Y7" s="46" t="s">
        <v>177</v>
      </c>
      <c r="Z7" s="47" t="s">
        <v>47</v>
      </c>
      <c r="AA7" s="50" t="s">
        <v>48</v>
      </c>
      <c r="AB7" s="46" t="s">
        <v>49</v>
      </c>
      <c r="AC7" s="46" t="s">
        <v>50</v>
      </c>
      <c r="AD7" s="46" t="s">
        <v>51</v>
      </c>
      <c r="AE7" s="46" t="s">
        <v>52</v>
      </c>
      <c r="AF7" s="46" t="s">
        <v>178</v>
      </c>
      <c r="AG7" s="48" t="s">
        <v>54</v>
      </c>
      <c r="AH7" s="47" t="s">
        <v>55</v>
      </c>
      <c r="AI7" s="47" t="s">
        <v>56</v>
      </c>
      <c r="AJ7" s="47" t="s">
        <v>60</v>
      </c>
      <c r="AK7" s="47" t="s">
        <v>57</v>
      </c>
      <c r="AL7" s="47" t="s">
        <v>58</v>
      </c>
    </row>
    <row r="8" spans="1:38" ht="78.75" x14ac:dyDescent="0.25">
      <c r="A8" s="52"/>
      <c r="B8" s="11" t="s">
        <v>61</v>
      </c>
      <c r="C8" s="12" t="s">
        <v>62</v>
      </c>
      <c r="D8" s="11" t="s">
        <v>63</v>
      </c>
      <c r="E8" s="11" t="s">
        <v>64</v>
      </c>
      <c r="F8" s="47"/>
      <c r="G8" s="47"/>
      <c r="H8" s="47"/>
      <c r="I8" s="47"/>
      <c r="J8" s="11" t="s">
        <v>65</v>
      </c>
      <c r="K8" s="11" t="s">
        <v>179</v>
      </c>
      <c r="L8" s="11" t="s">
        <v>180</v>
      </c>
      <c r="M8" s="11" t="s">
        <v>54</v>
      </c>
      <c r="N8" s="47"/>
      <c r="O8" s="11" t="s">
        <v>66</v>
      </c>
      <c r="P8" s="11" t="s">
        <v>67</v>
      </c>
      <c r="Q8" s="12" t="s">
        <v>68</v>
      </c>
      <c r="R8" s="11" t="s">
        <v>181</v>
      </c>
      <c r="S8" s="11" t="s">
        <v>182</v>
      </c>
      <c r="T8" s="11" t="s">
        <v>183</v>
      </c>
      <c r="U8" s="11" t="s">
        <v>184</v>
      </c>
      <c r="V8" s="11" t="s">
        <v>185</v>
      </c>
      <c r="W8" s="47"/>
      <c r="X8" s="47"/>
      <c r="Y8" s="47"/>
      <c r="Z8" s="47"/>
      <c r="AA8" s="51"/>
      <c r="AB8" s="47"/>
      <c r="AC8" s="47"/>
      <c r="AD8" s="47"/>
      <c r="AE8" s="47"/>
      <c r="AF8" s="47"/>
      <c r="AG8" s="49"/>
      <c r="AH8" s="47"/>
      <c r="AI8" s="47"/>
      <c r="AJ8" s="47"/>
      <c r="AK8" s="47"/>
      <c r="AL8" s="47"/>
    </row>
    <row r="9" spans="1:38" ht="15.75" x14ac:dyDescent="0.25">
      <c r="A9" s="13">
        <v>35065</v>
      </c>
      <c r="B9" s="2">
        <f>500000/1000</f>
        <v>500</v>
      </c>
      <c r="C9" s="2">
        <f>27246/1000</f>
        <v>27.245999999999999</v>
      </c>
      <c r="D9" s="2">
        <f>1247963/1000</f>
        <v>1247.963</v>
      </c>
      <c r="E9" s="2">
        <f>433841/1000</f>
        <v>433.84100000000001</v>
      </c>
      <c r="F9" s="1" t="s">
        <v>69</v>
      </c>
      <c r="G9" s="1" t="s">
        <v>69</v>
      </c>
      <c r="H9" s="1" t="s">
        <v>69</v>
      </c>
      <c r="I9" s="1" t="s">
        <v>69</v>
      </c>
      <c r="J9" s="2">
        <f>89804/1000</f>
        <v>89.804000000000002</v>
      </c>
      <c r="K9" s="2">
        <f>20240/1000</f>
        <v>20.239999999999998</v>
      </c>
      <c r="L9" s="2">
        <f>0/1000</f>
        <v>0</v>
      </c>
      <c r="M9" s="2">
        <f>58487/1000</f>
        <v>58.487000000000002</v>
      </c>
      <c r="N9" s="2">
        <v>0</v>
      </c>
      <c r="O9" s="2">
        <f>98776/1000</f>
        <v>98.775999999999996</v>
      </c>
      <c r="P9" s="2">
        <v>69.947000000000003</v>
      </c>
      <c r="Q9" s="2">
        <v>9.1029999999999998</v>
      </c>
      <c r="R9" s="4">
        <v>137.34100000000001</v>
      </c>
      <c r="S9" s="4">
        <v>0</v>
      </c>
      <c r="T9" s="4" t="s">
        <v>69</v>
      </c>
      <c r="U9" s="4" t="s">
        <v>69</v>
      </c>
      <c r="V9" s="4" t="s">
        <v>69</v>
      </c>
      <c r="W9" s="2">
        <v>10.906000000000001</v>
      </c>
      <c r="X9" s="2" t="s">
        <v>69</v>
      </c>
      <c r="Y9" s="2" t="s">
        <v>69</v>
      </c>
      <c r="Z9" s="2">
        <v>156.44499999999999</v>
      </c>
      <c r="AA9" s="2">
        <f>928/1000</f>
        <v>0.92800000000000005</v>
      </c>
      <c r="AB9" s="2">
        <v>142.72900000000001</v>
      </c>
      <c r="AC9" s="2">
        <v>23.353000000000002</v>
      </c>
      <c r="AD9" s="2" t="s">
        <v>69</v>
      </c>
      <c r="AE9" s="2">
        <v>0.125</v>
      </c>
      <c r="AF9" s="2">
        <v>3.5259999999999998</v>
      </c>
      <c r="AG9" s="2">
        <f>79/1000</f>
        <v>7.9000000000000001E-2</v>
      </c>
      <c r="AH9" s="2">
        <v>1425</v>
      </c>
      <c r="AI9" s="2">
        <v>269.59500000000003</v>
      </c>
      <c r="AJ9" s="2">
        <v>82.233000000000004</v>
      </c>
      <c r="AK9" s="2">
        <v>0</v>
      </c>
      <c r="AL9" s="2" t="s">
        <v>69</v>
      </c>
    </row>
    <row r="10" spans="1:38" ht="15.75" x14ac:dyDescent="0.25">
      <c r="A10" s="13">
        <v>35096</v>
      </c>
      <c r="B10" s="2">
        <f>553138/1000</f>
        <v>553.13800000000003</v>
      </c>
      <c r="C10" s="2">
        <f>25059/1000</f>
        <v>25.059000000000001</v>
      </c>
      <c r="D10" s="2">
        <f>1219908/1000</f>
        <v>1219.9079999999999</v>
      </c>
      <c r="E10" s="2">
        <f>414978/1000</f>
        <v>414.97800000000001</v>
      </c>
      <c r="F10" s="1" t="s">
        <v>69</v>
      </c>
      <c r="G10" s="3" t="s">
        <v>69</v>
      </c>
      <c r="H10" s="3" t="s">
        <v>69</v>
      </c>
      <c r="I10" s="3" t="s">
        <v>69</v>
      </c>
      <c r="J10" s="2">
        <f>150337/1000</f>
        <v>150.33699999999999</v>
      </c>
      <c r="K10" s="2">
        <f>21859/1000</f>
        <v>21.859000000000002</v>
      </c>
      <c r="L10" s="2">
        <v>0</v>
      </c>
      <c r="M10" s="2">
        <f>48560/1000</f>
        <v>48.56</v>
      </c>
      <c r="N10" s="2">
        <f>8433/1000</f>
        <v>8.4329999999999998</v>
      </c>
      <c r="O10" s="2">
        <v>90.858000000000004</v>
      </c>
      <c r="P10" s="2">
        <v>55.67</v>
      </c>
      <c r="Q10" s="2">
        <v>10.895</v>
      </c>
      <c r="R10" s="4">
        <v>180.19300000000001</v>
      </c>
      <c r="S10" s="4">
        <v>0</v>
      </c>
      <c r="T10" s="4" t="s">
        <v>69</v>
      </c>
      <c r="U10" s="4" t="s">
        <v>69</v>
      </c>
      <c r="V10" s="4" t="s">
        <v>69</v>
      </c>
      <c r="W10" s="2">
        <v>6.92</v>
      </c>
      <c r="X10" s="2" t="s">
        <v>69</v>
      </c>
      <c r="Y10" s="2" t="s">
        <v>69</v>
      </c>
      <c r="Z10" s="2">
        <v>-48.524999999999999</v>
      </c>
      <c r="AA10" s="2">
        <f>846/1000</f>
        <v>0.84599999999999997</v>
      </c>
      <c r="AB10" s="2">
        <v>115.59099999999999</v>
      </c>
      <c r="AC10" s="2">
        <v>20.245999999999999</v>
      </c>
      <c r="AD10" s="2" t="s">
        <v>69</v>
      </c>
      <c r="AE10" s="2">
        <v>0.11899999999999999</v>
      </c>
      <c r="AF10" s="2">
        <v>3.2160000000000002</v>
      </c>
      <c r="AG10" s="2">
        <v>6.4000000000000001E-2</v>
      </c>
      <c r="AH10" s="2">
        <v>921.7</v>
      </c>
      <c r="AI10" s="2">
        <v>196.08699999999999</v>
      </c>
      <c r="AJ10" s="2">
        <v>72.138000000000005</v>
      </c>
      <c r="AK10" s="2">
        <v>0</v>
      </c>
      <c r="AL10" s="2" t="s">
        <v>69</v>
      </c>
    </row>
    <row r="11" spans="1:38" ht="15.75" x14ac:dyDescent="0.25">
      <c r="A11" s="13">
        <v>35125</v>
      </c>
      <c r="B11" s="2">
        <f>457012/1000</f>
        <v>457.012</v>
      </c>
      <c r="C11" s="2">
        <f>28747/1000</f>
        <v>28.747</v>
      </c>
      <c r="D11" s="2">
        <f>1238201/1000</f>
        <v>1238.201</v>
      </c>
      <c r="E11" s="2">
        <f>466975/1000</f>
        <v>466.97500000000002</v>
      </c>
      <c r="F11" s="1" t="s">
        <v>69</v>
      </c>
      <c r="G11" s="1" t="s">
        <v>69</v>
      </c>
      <c r="H11" s="1" t="s">
        <v>69</v>
      </c>
      <c r="I11" s="1" t="s">
        <v>69</v>
      </c>
      <c r="J11" s="2">
        <f>106805/1000</f>
        <v>106.80500000000001</v>
      </c>
      <c r="K11" s="2">
        <f>22029/1000</f>
        <v>22.029</v>
      </c>
      <c r="L11" s="2">
        <f>0/1000</f>
        <v>0</v>
      </c>
      <c r="M11" s="2">
        <f>52165/1000</f>
        <v>52.164999999999999</v>
      </c>
      <c r="N11" s="2">
        <f>11945/1000</f>
        <v>11.945</v>
      </c>
      <c r="O11" s="2">
        <v>118.90300000000001</v>
      </c>
      <c r="P11" s="2">
        <v>49.503999999999998</v>
      </c>
      <c r="Q11" s="2">
        <v>12.05</v>
      </c>
      <c r="R11" s="4">
        <v>115.78700000000001</v>
      </c>
      <c r="S11" s="4">
        <v>0</v>
      </c>
      <c r="T11" s="4" t="s">
        <v>69</v>
      </c>
      <c r="U11" s="4" t="s">
        <v>69</v>
      </c>
      <c r="V11" s="4" t="s">
        <v>69</v>
      </c>
      <c r="W11" s="2">
        <v>5.0250000000000004</v>
      </c>
      <c r="X11" s="2" t="s">
        <v>69</v>
      </c>
      <c r="Y11" s="2" t="s">
        <v>69</v>
      </c>
      <c r="Z11" s="2">
        <v>49.469000000000001</v>
      </c>
      <c r="AA11" s="2">
        <f>2989/1000</f>
        <v>2.9889999999999999</v>
      </c>
      <c r="AB11" s="2">
        <v>140.94499999999999</v>
      </c>
      <c r="AC11" s="2">
        <v>24.988</v>
      </c>
      <c r="AD11" s="2" t="s">
        <v>69</v>
      </c>
      <c r="AE11" s="2">
        <v>0.23100000000000001</v>
      </c>
      <c r="AF11" s="2">
        <v>3.7429999999999999</v>
      </c>
      <c r="AG11" s="2">
        <v>4.2000000000000003E-2</v>
      </c>
      <c r="AH11" s="2">
        <v>858.9</v>
      </c>
      <c r="AI11" s="2">
        <v>186.00399999999999</v>
      </c>
      <c r="AJ11" s="2">
        <v>63.332999999999998</v>
      </c>
      <c r="AK11" s="2">
        <v>0</v>
      </c>
      <c r="AL11" s="2" t="s">
        <v>69</v>
      </c>
    </row>
    <row r="12" spans="1:38" ht="15.75" x14ac:dyDescent="0.25">
      <c r="A12" s="13">
        <v>35156</v>
      </c>
      <c r="B12" s="2">
        <f>447061/1000</f>
        <v>447.06099999999998</v>
      </c>
      <c r="C12" s="2">
        <f>29291/1000</f>
        <v>29.291</v>
      </c>
      <c r="D12" s="2">
        <f>1108292/1000</f>
        <v>1108.2919999999999</v>
      </c>
      <c r="E12" s="2">
        <f>465486/1000</f>
        <v>465.48599999999999</v>
      </c>
      <c r="F12" s="3" t="s">
        <v>69</v>
      </c>
      <c r="G12" s="1" t="s">
        <v>69</v>
      </c>
      <c r="H12" s="1" t="s">
        <v>69</v>
      </c>
      <c r="I12" s="1" t="s">
        <v>69</v>
      </c>
      <c r="J12" s="2">
        <f>115774/1000</f>
        <v>115.774</v>
      </c>
      <c r="K12" s="2">
        <f>21950/1000</f>
        <v>21.95</v>
      </c>
      <c r="L12" s="2">
        <v>0</v>
      </c>
      <c r="M12" s="2">
        <f>52786/1000</f>
        <v>52.786000000000001</v>
      </c>
      <c r="N12" s="2">
        <f>19490/1000</f>
        <v>19.489999999999998</v>
      </c>
      <c r="O12" s="2">
        <v>86.825999999999993</v>
      </c>
      <c r="P12" s="5">
        <v>38.792999999999999</v>
      </c>
      <c r="Q12" s="5">
        <v>9.0619999999999994</v>
      </c>
      <c r="R12" s="5">
        <v>175.358</v>
      </c>
      <c r="S12" s="5">
        <v>0</v>
      </c>
      <c r="T12" s="5" t="s">
        <v>69</v>
      </c>
      <c r="U12" s="5" t="s">
        <v>69</v>
      </c>
      <c r="V12" s="5" t="s">
        <v>69</v>
      </c>
      <c r="W12" s="5">
        <v>4.8090000000000002</v>
      </c>
      <c r="X12" s="5" t="s">
        <v>69</v>
      </c>
      <c r="Y12" s="5" t="s">
        <v>69</v>
      </c>
      <c r="Z12" s="5">
        <v>70.251000000000005</v>
      </c>
      <c r="AA12" s="5">
        <v>4.91</v>
      </c>
      <c r="AB12" s="5">
        <v>139.279</v>
      </c>
      <c r="AC12" s="5">
        <v>24.477</v>
      </c>
      <c r="AD12" s="5" t="s">
        <v>69</v>
      </c>
      <c r="AE12" s="5">
        <v>0.54800000000000004</v>
      </c>
      <c r="AF12" s="5">
        <v>4.3470000000000004</v>
      </c>
      <c r="AG12" s="5">
        <v>8.8999999999999996E-2</v>
      </c>
      <c r="AH12" s="5">
        <v>907.4</v>
      </c>
      <c r="AI12" s="5">
        <v>189.565</v>
      </c>
      <c r="AJ12" s="2">
        <v>60.253999999999998</v>
      </c>
      <c r="AK12" s="2">
        <v>0</v>
      </c>
      <c r="AL12" s="2" t="s">
        <v>69</v>
      </c>
    </row>
    <row r="13" spans="1:38" ht="15.75" x14ac:dyDescent="0.25">
      <c r="A13" s="13">
        <v>35186</v>
      </c>
      <c r="B13" s="2">
        <f>657383/1000</f>
        <v>657.38300000000004</v>
      </c>
      <c r="C13" s="2">
        <f>32365/1000</f>
        <v>32.365000000000002</v>
      </c>
      <c r="D13" s="2">
        <f>1179766/1000</f>
        <v>1179.7660000000001</v>
      </c>
      <c r="E13" s="2">
        <f>505305/1000</f>
        <v>505.30500000000001</v>
      </c>
      <c r="F13" s="1" t="s">
        <v>69</v>
      </c>
      <c r="G13" s="1" t="s">
        <v>69</v>
      </c>
      <c r="H13" s="1" t="s">
        <v>69</v>
      </c>
      <c r="I13" s="1" t="s">
        <v>69</v>
      </c>
      <c r="J13" s="2">
        <f>105397/1000</f>
        <v>105.39700000000001</v>
      </c>
      <c r="K13" s="2">
        <f>20943/1000</f>
        <v>20.943000000000001</v>
      </c>
      <c r="L13" s="2">
        <v>0</v>
      </c>
      <c r="M13" s="2">
        <f>34051/1000</f>
        <v>34.051000000000002</v>
      </c>
      <c r="N13" s="2">
        <f>15466/1000</f>
        <v>15.465999999999999</v>
      </c>
      <c r="O13" s="2">
        <v>83.453000000000003</v>
      </c>
      <c r="P13" s="2">
        <v>59.378999999999998</v>
      </c>
      <c r="Q13" s="2">
        <v>11.426</v>
      </c>
      <c r="R13" s="4">
        <v>173.767</v>
      </c>
      <c r="S13" s="4">
        <v>0</v>
      </c>
      <c r="T13" s="4" t="s">
        <v>69</v>
      </c>
      <c r="U13" s="4" t="s">
        <v>69</v>
      </c>
      <c r="V13" s="4" t="s">
        <v>69</v>
      </c>
      <c r="W13" s="2">
        <v>4.9009999999999998</v>
      </c>
      <c r="X13" s="2" t="s">
        <v>69</v>
      </c>
      <c r="Y13" s="2" t="s">
        <v>69</v>
      </c>
      <c r="Z13" s="2">
        <v>51.095999999999997</v>
      </c>
      <c r="AA13" s="2">
        <v>6.9240000000000004</v>
      </c>
      <c r="AB13" s="2">
        <v>151.99799999999999</v>
      </c>
      <c r="AC13" s="2">
        <v>27.151</v>
      </c>
      <c r="AD13" s="2" t="s">
        <v>69</v>
      </c>
      <c r="AE13" s="2">
        <v>0.72</v>
      </c>
      <c r="AF13" s="2">
        <v>3.77</v>
      </c>
      <c r="AG13" s="2">
        <v>4.7E-2</v>
      </c>
      <c r="AH13" s="2">
        <v>942.2</v>
      </c>
      <c r="AI13" s="2">
        <v>188.155</v>
      </c>
      <c r="AJ13" s="2">
        <v>61.213999999999999</v>
      </c>
      <c r="AK13" s="2">
        <v>0</v>
      </c>
      <c r="AL13" s="2" t="s">
        <v>69</v>
      </c>
    </row>
    <row r="14" spans="1:38" ht="15.75" x14ac:dyDescent="0.25">
      <c r="A14" s="13">
        <v>35217</v>
      </c>
      <c r="B14" s="2">
        <f>706087/1000</f>
        <v>706.08699999999999</v>
      </c>
      <c r="C14" s="2">
        <f>30609/1000</f>
        <v>30.609000000000002</v>
      </c>
      <c r="D14" s="2">
        <f>1117969/1000</f>
        <v>1117.9690000000001</v>
      </c>
      <c r="E14" s="2">
        <f>484568/1000</f>
        <v>484.56799999999998</v>
      </c>
      <c r="F14" s="1" t="s">
        <v>69</v>
      </c>
      <c r="G14" s="1" t="s">
        <v>69</v>
      </c>
      <c r="H14" s="1" t="s">
        <v>69</v>
      </c>
      <c r="I14" s="1" t="s">
        <v>69</v>
      </c>
      <c r="J14" s="2">
        <f>106242/1000</f>
        <v>106.242</v>
      </c>
      <c r="K14" s="2">
        <f>22155/1000</f>
        <v>22.155000000000001</v>
      </c>
      <c r="L14" s="2">
        <v>0</v>
      </c>
      <c r="M14" s="2">
        <f>23584/1000</f>
        <v>23.584</v>
      </c>
      <c r="N14" s="2">
        <f>12948/1000</f>
        <v>12.948</v>
      </c>
      <c r="O14" s="2">
        <v>110.13800000000001</v>
      </c>
      <c r="P14" s="2">
        <v>47.948999999999998</v>
      </c>
      <c r="Q14" s="2">
        <v>9.0129999999999999</v>
      </c>
      <c r="R14" s="4">
        <v>165.02500000000001</v>
      </c>
      <c r="S14" s="4">
        <v>0</v>
      </c>
      <c r="T14" s="4" t="s">
        <v>69</v>
      </c>
      <c r="U14" s="4" t="s">
        <v>69</v>
      </c>
      <c r="V14" s="4" t="s">
        <v>69</v>
      </c>
      <c r="W14" s="2">
        <v>174.392</v>
      </c>
      <c r="X14" s="2" t="s">
        <v>69</v>
      </c>
      <c r="Y14" s="2" t="s">
        <v>69</v>
      </c>
      <c r="Z14" s="2">
        <v>55.73</v>
      </c>
      <c r="AA14" s="2">
        <f>4251/1000</f>
        <v>4.2510000000000003</v>
      </c>
      <c r="AB14" s="2">
        <v>145.935</v>
      </c>
      <c r="AC14" s="2">
        <v>26.39</v>
      </c>
      <c r="AD14" s="2" t="s">
        <v>69</v>
      </c>
      <c r="AE14" s="2">
        <v>0.39500000000000002</v>
      </c>
      <c r="AF14" s="2">
        <v>4.1970000000000001</v>
      </c>
      <c r="AG14" s="2">
        <v>9.4E-2</v>
      </c>
      <c r="AH14" s="2">
        <v>966.7</v>
      </c>
      <c r="AI14" s="2">
        <v>184.54400000000001</v>
      </c>
      <c r="AJ14" s="2">
        <v>53.481000000000002</v>
      </c>
      <c r="AK14" s="2">
        <v>0</v>
      </c>
      <c r="AL14" s="2" t="s">
        <v>69</v>
      </c>
    </row>
    <row r="15" spans="1:38" ht="15.75" x14ac:dyDescent="0.25">
      <c r="A15" s="13">
        <v>35247</v>
      </c>
      <c r="B15" s="2">
        <f>520065/1000</f>
        <v>520.06500000000005</v>
      </c>
      <c r="C15" s="2">
        <f>37792/1000</f>
        <v>37.792000000000002</v>
      </c>
      <c r="D15" s="2">
        <f>1130076/1000</f>
        <v>1130.076</v>
      </c>
      <c r="E15" s="2">
        <f>570114/1000</f>
        <v>570.11400000000003</v>
      </c>
      <c r="F15" s="1" t="s">
        <v>69</v>
      </c>
      <c r="G15" s="1" t="s">
        <v>69</v>
      </c>
      <c r="H15" s="1" t="s">
        <v>69</v>
      </c>
      <c r="I15" s="1" t="s">
        <v>69</v>
      </c>
      <c r="J15" s="2">
        <f>106951/1000</f>
        <v>106.95099999999999</v>
      </c>
      <c r="K15" s="2">
        <f>20727/1000</f>
        <v>20.727</v>
      </c>
      <c r="L15" s="2">
        <v>0</v>
      </c>
      <c r="M15" s="2">
        <f>12990/1000</f>
        <v>12.99</v>
      </c>
      <c r="N15" s="2">
        <f>18671/1000</f>
        <v>18.670999999999999</v>
      </c>
      <c r="O15" s="2">
        <v>68.397000000000006</v>
      </c>
      <c r="P15" s="2">
        <v>50.091999999999999</v>
      </c>
      <c r="Q15" s="2">
        <v>11.682</v>
      </c>
      <c r="R15" s="4">
        <v>135.66</v>
      </c>
      <c r="S15" s="4">
        <v>0</v>
      </c>
      <c r="T15" s="4" t="s">
        <v>69</v>
      </c>
      <c r="U15" s="4" t="s">
        <v>69</v>
      </c>
      <c r="V15" s="4" t="s">
        <v>69</v>
      </c>
      <c r="W15" s="2">
        <v>52.256999999999998</v>
      </c>
      <c r="X15" s="2" t="s">
        <v>69</v>
      </c>
      <c r="Y15" s="2" t="s">
        <v>69</v>
      </c>
      <c r="Z15" s="2">
        <v>69.501999999999995</v>
      </c>
      <c r="AA15" s="2">
        <v>3.4129999999999998</v>
      </c>
      <c r="AB15" s="2">
        <v>166.23</v>
      </c>
      <c r="AC15" s="2">
        <v>32.021999999999998</v>
      </c>
      <c r="AD15" s="2" t="s">
        <v>69</v>
      </c>
      <c r="AE15" s="2">
        <v>0.46100000000000002</v>
      </c>
      <c r="AF15" s="2">
        <v>4.1609999999999996</v>
      </c>
      <c r="AG15" s="2">
        <f>9/1000</f>
        <v>8.9999999999999993E-3</v>
      </c>
      <c r="AH15" s="2">
        <v>1399.7</v>
      </c>
      <c r="AI15" s="2">
        <v>273.13499999999999</v>
      </c>
      <c r="AJ15" s="2">
        <v>51.277999999999999</v>
      </c>
      <c r="AK15" s="2">
        <v>42.033999999999999</v>
      </c>
      <c r="AL15" s="2" t="s">
        <v>69</v>
      </c>
    </row>
    <row r="16" spans="1:38" ht="15.75" x14ac:dyDescent="0.25">
      <c r="A16" s="13">
        <v>35278</v>
      </c>
      <c r="B16" s="2">
        <f>471938/1000</f>
        <v>471.93799999999999</v>
      </c>
      <c r="C16" s="2">
        <f>41467/1000</f>
        <v>41.466999999999999</v>
      </c>
      <c r="D16" s="2">
        <f>1168794/1000</f>
        <v>1168.7940000000001</v>
      </c>
      <c r="E16" s="2">
        <f>632100/1000</f>
        <v>632.1</v>
      </c>
      <c r="F16" s="1" t="s">
        <v>69</v>
      </c>
      <c r="G16" s="1" t="s">
        <v>69</v>
      </c>
      <c r="H16" s="1" t="s">
        <v>69</v>
      </c>
      <c r="I16" s="1" t="s">
        <v>69</v>
      </c>
      <c r="J16" s="2">
        <f>106047/1000</f>
        <v>106.047</v>
      </c>
      <c r="K16" s="2">
        <f>20449/1000</f>
        <v>20.449000000000002</v>
      </c>
      <c r="L16" s="2">
        <v>0</v>
      </c>
      <c r="M16" s="2">
        <f>11590/1000</f>
        <v>11.59</v>
      </c>
      <c r="N16" s="2">
        <f>15443/1000</f>
        <v>15.443</v>
      </c>
      <c r="O16" s="2">
        <v>119.48099999999999</v>
      </c>
      <c r="P16" s="2">
        <v>51.597000000000001</v>
      </c>
      <c r="Q16" s="2">
        <v>11.618</v>
      </c>
      <c r="R16" s="4">
        <v>169.10599999999999</v>
      </c>
      <c r="S16" s="4">
        <v>0</v>
      </c>
      <c r="T16" s="4" t="s">
        <v>69</v>
      </c>
      <c r="U16" s="4" t="s">
        <v>69</v>
      </c>
      <c r="V16" s="4" t="s">
        <v>69</v>
      </c>
      <c r="W16" s="2">
        <v>169.00700000000001</v>
      </c>
      <c r="X16" s="2" t="s">
        <v>69</v>
      </c>
      <c r="Y16" s="2" t="s">
        <v>69</v>
      </c>
      <c r="Z16" s="2">
        <v>55.308999999999997</v>
      </c>
      <c r="AA16" s="2">
        <v>1.786</v>
      </c>
      <c r="AB16" s="2">
        <v>180.852</v>
      </c>
      <c r="AC16" s="2">
        <v>32.189</v>
      </c>
      <c r="AD16" s="2" t="s">
        <v>69</v>
      </c>
      <c r="AE16" s="2">
        <v>0.51100000000000001</v>
      </c>
      <c r="AF16" s="2">
        <v>4.6390000000000002</v>
      </c>
      <c r="AG16" s="2">
        <v>2.5000000000000001E-2</v>
      </c>
      <c r="AH16" s="2">
        <v>1005.1</v>
      </c>
      <c r="AI16" s="2">
        <v>192.34899999999999</v>
      </c>
      <c r="AJ16" s="2">
        <v>43.552999999999997</v>
      </c>
      <c r="AK16" s="2">
        <v>36.771999999999998</v>
      </c>
      <c r="AL16" s="2" t="s">
        <v>69</v>
      </c>
    </row>
    <row r="17" spans="1:42" ht="15.75" x14ac:dyDescent="0.25">
      <c r="A17" s="13">
        <v>35309</v>
      </c>
      <c r="B17" s="2">
        <f>451672/1000</f>
        <v>451.67200000000003</v>
      </c>
      <c r="C17" s="2">
        <f>32557/1000</f>
        <v>32.557000000000002</v>
      </c>
      <c r="D17" s="2">
        <f>1061145/1000</f>
        <v>1061.145</v>
      </c>
      <c r="E17" s="2">
        <f>510302/1000</f>
        <v>510.30200000000002</v>
      </c>
      <c r="F17" s="1" t="s">
        <v>69</v>
      </c>
      <c r="G17" s="1" t="s">
        <v>69</v>
      </c>
      <c r="H17" s="1" t="s">
        <v>69</v>
      </c>
      <c r="I17" s="1" t="s">
        <v>69</v>
      </c>
      <c r="J17" s="2">
        <f>110302/1000</f>
        <v>110.30200000000001</v>
      </c>
      <c r="K17" s="2">
        <f>18809/1000</f>
        <v>18.809000000000001</v>
      </c>
      <c r="L17" s="2">
        <v>0</v>
      </c>
      <c r="M17" s="2">
        <f>15876/1000</f>
        <v>15.875999999999999</v>
      </c>
      <c r="N17" s="2">
        <f>11296/1000</f>
        <v>11.295999999999999</v>
      </c>
      <c r="O17" s="2">
        <v>125.93300000000001</v>
      </c>
      <c r="P17" s="2">
        <v>49.694000000000003</v>
      </c>
      <c r="Q17" s="2">
        <v>12.661</v>
      </c>
      <c r="R17" s="4">
        <v>197.21100000000001</v>
      </c>
      <c r="S17" s="4">
        <v>0</v>
      </c>
      <c r="T17" s="4" t="s">
        <v>69</v>
      </c>
      <c r="U17" s="4" t="s">
        <v>69</v>
      </c>
      <c r="V17" s="4" t="s">
        <v>69</v>
      </c>
      <c r="W17" s="2">
        <v>17.584</v>
      </c>
      <c r="X17" s="2" t="s">
        <v>69</v>
      </c>
      <c r="Y17" s="2" t="s">
        <v>69</v>
      </c>
      <c r="Z17" s="2">
        <v>29.635999999999999</v>
      </c>
      <c r="AA17" s="2">
        <v>1.3839999999999999</v>
      </c>
      <c r="AB17" s="2">
        <v>156.126</v>
      </c>
      <c r="AC17" s="2">
        <v>27.795999999999999</v>
      </c>
      <c r="AD17" s="2" t="s">
        <v>69</v>
      </c>
      <c r="AE17" s="2">
        <v>0.32500000000000001</v>
      </c>
      <c r="AF17" s="2">
        <v>4.0060000000000002</v>
      </c>
      <c r="AG17" s="2">
        <v>4.2999999999999997E-2</v>
      </c>
      <c r="AH17" s="2">
        <v>1030.9000000000001</v>
      </c>
      <c r="AI17" s="2">
        <v>193.232</v>
      </c>
      <c r="AJ17" s="2">
        <v>50.603000000000002</v>
      </c>
      <c r="AK17" s="2">
        <v>37.435000000000002</v>
      </c>
      <c r="AL17" s="2" t="s">
        <v>69</v>
      </c>
    </row>
    <row r="18" spans="1:42" ht="15.75" x14ac:dyDescent="0.25">
      <c r="A18" s="13">
        <v>35339</v>
      </c>
      <c r="B18" s="2">
        <f>484573/1000</f>
        <v>484.57299999999998</v>
      </c>
      <c r="C18" s="2">
        <f>37804/1000</f>
        <v>37.804000000000002</v>
      </c>
      <c r="D18" s="2">
        <f>1182868/1000</f>
        <v>1182.8679999999999</v>
      </c>
      <c r="E18" s="2">
        <f>598621/1000</f>
        <v>598.62099999999998</v>
      </c>
      <c r="F18" s="1" t="s">
        <v>69</v>
      </c>
      <c r="G18" s="1" t="s">
        <v>69</v>
      </c>
      <c r="H18" s="1" t="s">
        <v>69</v>
      </c>
      <c r="I18" s="1" t="s">
        <v>69</v>
      </c>
      <c r="J18" s="2">
        <f>96824/1000</f>
        <v>96.823999999999998</v>
      </c>
      <c r="K18" s="2">
        <f>20802/1000</f>
        <v>20.802</v>
      </c>
      <c r="L18" s="2">
        <v>0</v>
      </c>
      <c r="M18" s="2">
        <f>12125/1000</f>
        <v>12.125</v>
      </c>
      <c r="N18" s="2">
        <f>21322/1000</f>
        <v>21.321999999999999</v>
      </c>
      <c r="O18" s="2">
        <v>168.25399999999999</v>
      </c>
      <c r="P18" s="2">
        <v>50.819000000000003</v>
      </c>
      <c r="Q18" s="2">
        <v>11.608000000000001</v>
      </c>
      <c r="R18" s="4">
        <v>212.82499999999999</v>
      </c>
      <c r="S18" s="4">
        <v>0</v>
      </c>
      <c r="T18" s="4" t="s">
        <v>69</v>
      </c>
      <c r="U18" s="4" t="s">
        <v>69</v>
      </c>
      <c r="V18" s="4" t="s">
        <v>69</v>
      </c>
      <c r="W18" s="2">
        <v>115.711</v>
      </c>
      <c r="X18" s="2" t="s">
        <v>69</v>
      </c>
      <c r="Y18" s="2" t="s">
        <v>69</v>
      </c>
      <c r="Z18" s="2">
        <v>71.290000000000006</v>
      </c>
      <c r="AA18" s="2">
        <v>0.40100000000000002</v>
      </c>
      <c r="AB18" s="2">
        <v>193.422</v>
      </c>
      <c r="AC18" s="2">
        <v>31.414999999999999</v>
      </c>
      <c r="AD18" s="2" t="s">
        <v>69</v>
      </c>
      <c r="AE18" s="2">
        <v>0.48499999999999999</v>
      </c>
      <c r="AF18" s="2">
        <v>4.5990000000000002</v>
      </c>
      <c r="AG18" s="2">
        <v>5.2999999999999999E-2</v>
      </c>
      <c r="AH18" s="2">
        <v>1078.9000000000001</v>
      </c>
      <c r="AI18" s="2">
        <v>196.667</v>
      </c>
      <c r="AJ18" s="2">
        <v>59.079000000000001</v>
      </c>
      <c r="AK18" s="2">
        <v>38.070999999999998</v>
      </c>
      <c r="AL18" s="2" t="s">
        <v>69</v>
      </c>
    </row>
    <row r="19" spans="1:42" ht="15.75" x14ac:dyDescent="0.25">
      <c r="A19" s="13">
        <v>35370</v>
      </c>
      <c r="B19" s="2">
        <f>637453/1000</f>
        <v>637.45299999999997</v>
      </c>
      <c r="C19" s="2">
        <f>36776/1000</f>
        <v>36.776000000000003</v>
      </c>
      <c r="D19" s="2">
        <f>1144200/1000</f>
        <v>1144.2</v>
      </c>
      <c r="E19" s="2">
        <f>645309/1000</f>
        <v>645.30899999999997</v>
      </c>
      <c r="F19" s="1" t="s">
        <v>69</v>
      </c>
      <c r="G19" s="1" t="s">
        <v>69</v>
      </c>
      <c r="H19" s="1" t="s">
        <v>69</v>
      </c>
      <c r="I19" s="3" t="s">
        <v>69</v>
      </c>
      <c r="J19" s="2">
        <f>94153/1000</f>
        <v>94.153000000000006</v>
      </c>
      <c r="K19" s="2">
        <f>20382/1000</f>
        <v>20.382000000000001</v>
      </c>
      <c r="L19" s="2">
        <v>0</v>
      </c>
      <c r="M19" s="2">
        <f>12383/1000</f>
        <v>12.382999999999999</v>
      </c>
      <c r="N19" s="2">
        <f>11477/1000</f>
        <v>11.477</v>
      </c>
      <c r="O19" s="2">
        <v>143.46799999999999</v>
      </c>
      <c r="P19" s="2">
        <v>42.408000000000001</v>
      </c>
      <c r="Q19" s="2">
        <v>4.085</v>
      </c>
      <c r="R19" s="4">
        <v>231.215</v>
      </c>
      <c r="S19" s="4">
        <v>1.645</v>
      </c>
      <c r="T19" s="4" t="s">
        <v>69</v>
      </c>
      <c r="U19" s="4" t="s">
        <v>69</v>
      </c>
      <c r="V19" s="4" t="s">
        <v>69</v>
      </c>
      <c r="W19" s="2">
        <v>13.164999999999999</v>
      </c>
      <c r="X19" s="2" t="s">
        <v>69</v>
      </c>
      <c r="Y19" s="2" t="s">
        <v>69</v>
      </c>
      <c r="Z19" s="2">
        <v>38.308</v>
      </c>
      <c r="AA19" s="2">
        <v>0.20699999999999999</v>
      </c>
      <c r="AB19" s="2">
        <v>185.65899999999999</v>
      </c>
      <c r="AC19" s="2">
        <v>29.911000000000001</v>
      </c>
      <c r="AD19" s="2" t="s">
        <v>69</v>
      </c>
      <c r="AE19" s="2">
        <v>0.32300000000000001</v>
      </c>
      <c r="AF19" s="2">
        <v>4.0039999999999996</v>
      </c>
      <c r="AG19" s="2">
        <v>2.5000000000000001E-2</v>
      </c>
      <c r="AH19" s="2">
        <v>979.5</v>
      </c>
      <c r="AI19" s="2">
        <v>192.52</v>
      </c>
      <c r="AJ19" s="2">
        <v>42.776000000000003</v>
      </c>
      <c r="AK19" s="2">
        <v>37.790999999999997</v>
      </c>
      <c r="AL19" s="2" t="s">
        <v>69</v>
      </c>
    </row>
    <row r="20" spans="1:42" ht="15.75" x14ac:dyDescent="0.25">
      <c r="A20" s="13">
        <v>35400</v>
      </c>
      <c r="B20" s="2">
        <f>520892/1000</f>
        <v>520.89200000000005</v>
      </c>
      <c r="C20" s="2">
        <f>34009/1000</f>
        <v>34.009</v>
      </c>
      <c r="D20" s="2">
        <f>1091344/1000</f>
        <v>1091.3440000000001</v>
      </c>
      <c r="E20" s="2">
        <f>533295/1000</f>
        <v>533.29499999999996</v>
      </c>
      <c r="F20" s="1" t="s">
        <v>69</v>
      </c>
      <c r="G20" s="1" t="s">
        <v>69</v>
      </c>
      <c r="H20" s="1" t="s">
        <v>69</v>
      </c>
      <c r="I20" s="1" t="s">
        <v>69</v>
      </c>
      <c r="J20" s="2">
        <f>155076/1000</f>
        <v>155.07599999999999</v>
      </c>
      <c r="K20" s="2">
        <f>19164/1000</f>
        <v>19.164000000000001</v>
      </c>
      <c r="L20" s="2">
        <v>0</v>
      </c>
      <c r="M20" s="2">
        <f>12727/1000</f>
        <v>12.727</v>
      </c>
      <c r="N20" s="2">
        <f>25813/1000</f>
        <v>25.812999999999999</v>
      </c>
      <c r="O20" s="2">
        <v>111.858</v>
      </c>
      <c r="P20" s="2">
        <v>46.097000000000001</v>
      </c>
      <c r="Q20" s="2">
        <v>7.5579999999999998</v>
      </c>
      <c r="R20" s="4">
        <v>306.27</v>
      </c>
      <c r="S20" s="4">
        <v>136.88499999999999</v>
      </c>
      <c r="T20" s="4" t="s">
        <v>69</v>
      </c>
      <c r="U20" s="4" t="s">
        <v>69</v>
      </c>
      <c r="V20" s="4" t="s">
        <v>69</v>
      </c>
      <c r="W20" s="2">
        <v>78.366</v>
      </c>
      <c r="X20" s="2" t="s">
        <v>69</v>
      </c>
      <c r="Y20" s="2" t="s">
        <v>69</v>
      </c>
      <c r="Z20" s="2">
        <v>45.656999999999996</v>
      </c>
      <c r="AA20" s="2">
        <v>0.27800000000000002</v>
      </c>
      <c r="AB20" s="2">
        <v>178.87700000000001</v>
      </c>
      <c r="AC20" s="2">
        <v>28.486000000000001</v>
      </c>
      <c r="AD20" s="2" t="s">
        <v>69</v>
      </c>
      <c r="AE20" s="2">
        <v>0.38400000000000001</v>
      </c>
      <c r="AF20" s="2">
        <v>5.407</v>
      </c>
      <c r="AG20" s="2">
        <v>0.26100000000000001</v>
      </c>
      <c r="AH20" s="2">
        <v>1045.5999999999999</v>
      </c>
      <c r="AI20" s="2">
        <v>192.9</v>
      </c>
      <c r="AJ20" s="2">
        <v>37.33</v>
      </c>
      <c r="AK20" s="2">
        <v>37.256999999999998</v>
      </c>
      <c r="AL20" s="2" t="s">
        <v>69</v>
      </c>
    </row>
    <row r="21" spans="1:42" ht="15.75" x14ac:dyDescent="0.25">
      <c r="A21" s="13">
        <v>35431</v>
      </c>
      <c r="B21" s="6">
        <v>595.21107148999999</v>
      </c>
      <c r="C21" s="6">
        <v>36.531705629999998</v>
      </c>
      <c r="D21" s="6">
        <v>1343.52091004</v>
      </c>
      <c r="E21" s="6">
        <v>590.95318814999996</v>
      </c>
      <c r="F21" s="6" t="s">
        <v>69</v>
      </c>
      <c r="G21" s="6" t="s">
        <v>69</v>
      </c>
      <c r="H21" s="6" t="s">
        <v>69</v>
      </c>
      <c r="I21" s="6" t="s">
        <v>69</v>
      </c>
      <c r="J21" s="2">
        <f>106286/1000</f>
        <v>106.286</v>
      </c>
      <c r="K21" s="2">
        <f>20067/1000</f>
        <v>20.067</v>
      </c>
      <c r="L21" s="2">
        <v>0</v>
      </c>
      <c r="M21" s="2">
        <f>23768/1000</f>
        <v>23.768000000000001</v>
      </c>
      <c r="N21" s="2">
        <f>15177/1000</f>
        <v>15.177</v>
      </c>
      <c r="O21" s="6">
        <v>129.83098229000001</v>
      </c>
      <c r="P21" s="2">
        <v>32.473999999999997</v>
      </c>
      <c r="Q21" s="6">
        <v>17.602</v>
      </c>
      <c r="R21" s="6">
        <v>138.95373719</v>
      </c>
      <c r="S21" s="6">
        <v>222.44365099999999</v>
      </c>
      <c r="T21" s="6" t="s">
        <v>69</v>
      </c>
      <c r="U21" s="6" t="s">
        <v>69</v>
      </c>
      <c r="V21" s="6" t="s">
        <v>69</v>
      </c>
      <c r="W21" s="6">
        <v>8.4389963800000007</v>
      </c>
      <c r="X21" s="6" t="s">
        <v>69</v>
      </c>
      <c r="Y21" s="6" t="s">
        <v>69</v>
      </c>
      <c r="Z21" s="6">
        <v>45.911000000000001</v>
      </c>
      <c r="AA21" s="6">
        <v>0.44900000000000001</v>
      </c>
      <c r="AB21" s="6">
        <v>201.649</v>
      </c>
      <c r="AC21" s="6">
        <v>31.337</v>
      </c>
      <c r="AD21" s="6" t="s">
        <v>69</v>
      </c>
      <c r="AE21" s="6">
        <v>0.52200000000000002</v>
      </c>
      <c r="AF21" s="6">
        <v>2.0459999999999998</v>
      </c>
      <c r="AG21" s="6">
        <v>0.13900000000000001</v>
      </c>
      <c r="AH21" s="6">
        <f>1483.4+14.681</f>
        <v>1498.0810000000001</v>
      </c>
      <c r="AI21" s="6">
        <v>292.30200000000002</v>
      </c>
      <c r="AJ21" s="6">
        <v>50.875</v>
      </c>
      <c r="AK21" s="6">
        <v>50.439</v>
      </c>
      <c r="AL21" s="6" t="s">
        <v>69</v>
      </c>
      <c r="AM21" s="22">
        <f>SUM(B21:N21,R21:Z21)-SUM(O21:Q21)</f>
        <v>2967.3552775900002</v>
      </c>
      <c r="AN21" s="21">
        <f>SUM(AA21:AG21)</f>
        <v>236.142</v>
      </c>
      <c r="AO21" s="21">
        <f>SUM(AH21:AL21)</f>
        <v>1891.6970000000003</v>
      </c>
      <c r="AP21" s="22">
        <f>SUM(AM21:AO21)</f>
        <v>5095.1942775900006</v>
      </c>
    </row>
    <row r="22" spans="1:42" ht="15.75" x14ac:dyDescent="0.25">
      <c r="A22" s="13">
        <v>35462</v>
      </c>
      <c r="B22" s="6">
        <v>502.17698389999998</v>
      </c>
      <c r="C22" s="6">
        <v>30.538231190000001</v>
      </c>
      <c r="D22" s="6">
        <v>1203.8761402</v>
      </c>
      <c r="E22" s="6">
        <v>498.29273106999995</v>
      </c>
      <c r="F22" s="6" t="s">
        <v>69</v>
      </c>
      <c r="G22" s="6" t="s">
        <v>69</v>
      </c>
      <c r="H22" s="6" t="s">
        <v>69</v>
      </c>
      <c r="I22" s="6" t="s">
        <v>69</v>
      </c>
      <c r="J22" s="2">
        <f>113818/1000</f>
        <v>113.818</v>
      </c>
      <c r="K22" s="2">
        <f>20516/1000</f>
        <v>20.515999999999998</v>
      </c>
      <c r="L22" s="2">
        <f>367/1000</f>
        <v>0.36699999999999999</v>
      </c>
      <c r="M22" s="2">
        <f>19556/1000</f>
        <v>19.556000000000001</v>
      </c>
      <c r="N22" s="2">
        <v>17.878</v>
      </c>
      <c r="O22" s="6">
        <v>113.17965608999999</v>
      </c>
      <c r="P22" s="2">
        <v>51.466999999999999</v>
      </c>
      <c r="Q22" s="6">
        <v>4.45</v>
      </c>
      <c r="R22" s="6">
        <v>232.7381331</v>
      </c>
      <c r="S22" s="6">
        <v>84.18788601</v>
      </c>
      <c r="T22" s="6" t="s">
        <v>69</v>
      </c>
      <c r="U22" s="6" t="s">
        <v>69</v>
      </c>
      <c r="V22" s="6" t="s">
        <v>69</v>
      </c>
      <c r="W22" s="6">
        <v>3.83090259</v>
      </c>
      <c r="X22" s="6" t="s">
        <v>69</v>
      </c>
      <c r="Y22" s="6" t="s">
        <v>69</v>
      </c>
      <c r="Z22" s="6">
        <v>41.16</v>
      </c>
      <c r="AA22" s="6">
        <f>67/1000</f>
        <v>6.7000000000000004E-2</v>
      </c>
      <c r="AB22" s="6">
        <v>155.64400000000001</v>
      </c>
      <c r="AC22" s="6">
        <v>26.181999999999999</v>
      </c>
      <c r="AD22" s="6" t="s">
        <v>69</v>
      </c>
      <c r="AE22" s="6">
        <v>0.33600000000000002</v>
      </c>
      <c r="AF22" s="6">
        <v>1.3049999999999999</v>
      </c>
      <c r="AG22" s="6">
        <v>1.0999999999999999E-2</v>
      </c>
      <c r="AH22" s="6">
        <v>1092</v>
      </c>
      <c r="AI22" s="6">
        <v>206.761</v>
      </c>
      <c r="AJ22" s="6">
        <v>36.219000000000001</v>
      </c>
      <c r="AK22" s="6">
        <v>39.630000000000003</v>
      </c>
      <c r="AL22" s="6" t="s">
        <v>69</v>
      </c>
      <c r="AM22" s="22">
        <f>SUM(R21:AL21,B21:N21)-SUM(O21:Q21)</f>
        <v>5095.1942775899997</v>
      </c>
    </row>
    <row r="23" spans="1:42" ht="15.75" x14ac:dyDescent="0.25">
      <c r="A23" s="13">
        <v>35490</v>
      </c>
      <c r="B23" s="6">
        <v>493.73393046000001</v>
      </c>
      <c r="C23" s="6">
        <v>34.081649159999998</v>
      </c>
      <c r="D23" s="6">
        <v>1161.52962617</v>
      </c>
      <c r="E23" s="6">
        <v>538.18063968000001</v>
      </c>
      <c r="F23" s="6" t="s">
        <v>69</v>
      </c>
      <c r="G23" s="6" t="s">
        <v>69</v>
      </c>
      <c r="H23" s="6" t="s">
        <v>69</v>
      </c>
      <c r="I23" s="6" t="s">
        <v>69</v>
      </c>
      <c r="J23" s="2">
        <f>133692/1000</f>
        <v>133.69200000000001</v>
      </c>
      <c r="K23" s="2">
        <f>20022/1000</f>
        <v>20.021999999999998</v>
      </c>
      <c r="L23" s="2">
        <f>0/1000</f>
        <v>0</v>
      </c>
      <c r="M23" s="2">
        <f>18969/1000</f>
        <v>18.969000000000001</v>
      </c>
      <c r="N23" s="2">
        <v>15.752000000000001</v>
      </c>
      <c r="O23" s="6">
        <v>113.71717129</v>
      </c>
      <c r="P23" s="2">
        <v>61.953000000000003</v>
      </c>
      <c r="Q23" s="6">
        <v>3.21</v>
      </c>
      <c r="R23" s="6">
        <v>193.30577453999999</v>
      </c>
      <c r="S23" s="6">
        <v>72.384624919999993</v>
      </c>
      <c r="T23" s="6" t="s">
        <v>69</v>
      </c>
      <c r="U23" s="6" t="s">
        <v>69</v>
      </c>
      <c r="V23" s="6" t="s">
        <v>69</v>
      </c>
      <c r="W23" s="6">
        <v>4.5890392599999998</v>
      </c>
      <c r="X23" s="6" t="s">
        <v>69</v>
      </c>
      <c r="Y23" s="6" t="s">
        <v>69</v>
      </c>
      <c r="Z23" s="6">
        <v>51.152000000000001</v>
      </c>
      <c r="AA23" s="6">
        <f>28/1000</f>
        <v>2.8000000000000001E-2</v>
      </c>
      <c r="AB23" s="6">
        <v>169.31299999999999</v>
      </c>
      <c r="AC23" s="6">
        <v>28.437999999999999</v>
      </c>
      <c r="AD23" s="6" t="s">
        <v>69</v>
      </c>
      <c r="AE23" s="6">
        <v>0.251</v>
      </c>
      <c r="AF23" s="6">
        <v>1.44</v>
      </c>
      <c r="AG23" s="6">
        <v>0.06</v>
      </c>
      <c r="AH23" s="6">
        <v>1000.8</v>
      </c>
      <c r="AI23" s="6">
        <v>176.02</v>
      </c>
      <c r="AJ23" s="6">
        <v>34.731000000000002</v>
      </c>
      <c r="AK23" s="6">
        <v>38.753</v>
      </c>
      <c r="AL23" s="6" t="s">
        <v>69</v>
      </c>
    </row>
    <row r="24" spans="1:42" ht="15.75" x14ac:dyDescent="0.25">
      <c r="A24" s="13">
        <v>35521</v>
      </c>
      <c r="B24" s="6">
        <v>707.20174906</v>
      </c>
      <c r="C24" s="6">
        <v>40.426283050000002</v>
      </c>
      <c r="D24" s="6">
        <v>1168.3374551900001</v>
      </c>
      <c r="E24" s="6">
        <v>640.65536760999998</v>
      </c>
      <c r="F24" s="6" t="s">
        <v>69</v>
      </c>
      <c r="G24" s="6" t="s">
        <v>69</v>
      </c>
      <c r="H24" s="6" t="s">
        <v>69</v>
      </c>
      <c r="I24" s="6" t="s">
        <v>69</v>
      </c>
      <c r="J24" s="2">
        <f>90523/1000</f>
        <v>90.522999999999996</v>
      </c>
      <c r="K24" s="2">
        <f>21691/1000</f>
        <v>21.690999999999999</v>
      </c>
      <c r="L24" s="2">
        <f>890/1000</f>
        <v>0.89</v>
      </c>
      <c r="M24" s="2">
        <f>22070/1000</f>
        <v>22.07</v>
      </c>
      <c r="N24" s="2">
        <v>16.384</v>
      </c>
      <c r="O24" s="6">
        <v>195.77145942999999</v>
      </c>
      <c r="P24" s="2">
        <v>55.014000000000003</v>
      </c>
      <c r="Q24" s="6">
        <v>3.5379999999999998</v>
      </c>
      <c r="R24" s="6">
        <v>233.48882144999999</v>
      </c>
      <c r="S24" s="6">
        <v>102.76864008</v>
      </c>
      <c r="T24" s="6" t="s">
        <v>69</v>
      </c>
      <c r="U24" s="6" t="s">
        <v>69</v>
      </c>
      <c r="V24" s="6" t="s">
        <v>69</v>
      </c>
      <c r="W24" s="6">
        <v>69.196197209999994</v>
      </c>
      <c r="X24" s="6" t="s">
        <v>69</v>
      </c>
      <c r="Y24" s="6" t="s">
        <v>69</v>
      </c>
      <c r="Z24" s="6">
        <v>14.154999999999999</v>
      </c>
      <c r="AA24" s="6">
        <v>1.2170000000000001</v>
      </c>
      <c r="AB24" s="6">
        <v>206.27099999999999</v>
      </c>
      <c r="AC24" s="6">
        <v>33.58</v>
      </c>
      <c r="AD24" s="6" t="s">
        <v>69</v>
      </c>
      <c r="AE24" s="6">
        <v>0.47199999999999998</v>
      </c>
      <c r="AF24" s="6">
        <v>1.5389999999999999</v>
      </c>
      <c r="AG24" s="6">
        <v>0.03</v>
      </c>
      <c r="AH24" s="6">
        <v>1071.0999999999999</v>
      </c>
      <c r="AI24" s="6">
        <v>221.80600000000001</v>
      </c>
      <c r="AJ24" s="6">
        <v>37.500999999999998</v>
      </c>
      <c r="AK24" s="6">
        <v>40.795999999999999</v>
      </c>
      <c r="AL24" s="6" t="s">
        <v>69</v>
      </c>
    </row>
    <row r="25" spans="1:42" ht="15.75" x14ac:dyDescent="0.25">
      <c r="A25" s="13">
        <v>35551</v>
      </c>
      <c r="B25" s="6">
        <v>1247.1110703499999</v>
      </c>
      <c r="C25" s="6">
        <v>41.679435900000001</v>
      </c>
      <c r="D25" s="6">
        <v>1222.08651433</v>
      </c>
      <c r="E25" s="6">
        <v>662.53675088</v>
      </c>
      <c r="F25" s="6" t="s">
        <v>69</v>
      </c>
      <c r="G25" s="6" t="s">
        <v>69</v>
      </c>
      <c r="H25" s="6" t="s">
        <v>69</v>
      </c>
      <c r="I25" s="6" t="s">
        <v>69</v>
      </c>
      <c r="J25" s="2">
        <f>109610/1000</f>
        <v>109.61</v>
      </c>
      <c r="K25" s="2">
        <f>22525/1000</f>
        <v>22.524999999999999</v>
      </c>
      <c r="L25" s="2">
        <f>275/1000</f>
        <v>0.27500000000000002</v>
      </c>
      <c r="M25" s="2">
        <f>21064/1000</f>
        <v>21.064</v>
      </c>
      <c r="N25" s="2">
        <v>16.280999999999999</v>
      </c>
      <c r="O25" s="6">
        <v>133.04231447999999</v>
      </c>
      <c r="P25" s="2">
        <v>49.084000000000003</v>
      </c>
      <c r="Q25" s="6">
        <v>2.7240000000000002</v>
      </c>
      <c r="R25" s="6">
        <v>225.63564258</v>
      </c>
      <c r="S25" s="6">
        <v>35.34196446</v>
      </c>
      <c r="T25" s="6" t="s">
        <v>69</v>
      </c>
      <c r="U25" s="6" t="s">
        <v>69</v>
      </c>
      <c r="V25" s="6" t="s">
        <v>69</v>
      </c>
      <c r="W25" s="6">
        <v>68.832534539999997</v>
      </c>
      <c r="X25" s="6" t="s">
        <v>69</v>
      </c>
      <c r="Y25" s="6" t="s">
        <v>69</v>
      </c>
      <c r="Z25" s="6">
        <v>38.29</v>
      </c>
      <c r="AA25" s="6">
        <v>1.754</v>
      </c>
      <c r="AB25" s="6">
        <v>201.02699999999999</v>
      </c>
      <c r="AC25" s="6">
        <v>33.027999999999999</v>
      </c>
      <c r="AD25" s="6" t="s">
        <v>69</v>
      </c>
      <c r="AE25" s="6">
        <v>0.28699999999999998</v>
      </c>
      <c r="AF25" s="6">
        <v>2.794</v>
      </c>
      <c r="AG25" s="6">
        <v>9.5000000000000001E-2</v>
      </c>
      <c r="AH25" s="6">
        <v>1094.5</v>
      </c>
      <c r="AI25" s="6">
        <v>201.178</v>
      </c>
      <c r="AJ25" s="6">
        <v>34.192</v>
      </c>
      <c r="AK25" s="6">
        <v>40.646000000000001</v>
      </c>
      <c r="AL25" s="6" t="s">
        <v>69</v>
      </c>
    </row>
    <row r="26" spans="1:42" ht="15.75" x14ac:dyDescent="0.25">
      <c r="A26" s="13">
        <v>35582</v>
      </c>
      <c r="B26" s="6">
        <v>621.07612173999996</v>
      </c>
      <c r="C26" s="6">
        <v>41.644381269999997</v>
      </c>
      <c r="D26" s="6">
        <v>1171.11404128</v>
      </c>
      <c r="E26" s="6">
        <v>603.54352733999997</v>
      </c>
      <c r="F26" s="6" t="s">
        <v>69</v>
      </c>
      <c r="G26" s="6" t="s">
        <v>69</v>
      </c>
      <c r="H26" s="6" t="s">
        <v>69</v>
      </c>
      <c r="I26" s="6" t="s">
        <v>69</v>
      </c>
      <c r="J26" s="2">
        <f>113083/1000</f>
        <v>113.083</v>
      </c>
      <c r="K26" s="2">
        <f>22532/1000</f>
        <v>22.532</v>
      </c>
      <c r="L26" s="2">
        <f>181/1000</f>
        <v>0.18099999999999999</v>
      </c>
      <c r="M26" s="2">
        <f>19915/1000</f>
        <v>19.914999999999999</v>
      </c>
      <c r="N26" s="2">
        <v>16.891999999999999</v>
      </c>
      <c r="O26" s="6">
        <v>100.80157423</v>
      </c>
      <c r="P26" s="2">
        <v>42.73</v>
      </c>
      <c r="Q26" s="6">
        <v>0.68500000000000005</v>
      </c>
      <c r="R26" s="6">
        <v>211.68340757000001</v>
      </c>
      <c r="S26" s="6">
        <v>79.099058139999997</v>
      </c>
      <c r="T26" s="7" t="s">
        <v>69</v>
      </c>
      <c r="U26" s="6" t="s">
        <v>69</v>
      </c>
      <c r="V26" s="6" t="s">
        <v>69</v>
      </c>
      <c r="W26" s="6">
        <v>79.62804654</v>
      </c>
      <c r="X26" s="6" t="s">
        <v>69</v>
      </c>
      <c r="Y26" s="6" t="s">
        <v>69</v>
      </c>
      <c r="Z26" s="6">
        <v>40.497999999999998</v>
      </c>
      <c r="AA26" s="6">
        <f>686/1000</f>
        <v>0.68600000000000005</v>
      </c>
      <c r="AB26" s="6">
        <v>184.214</v>
      </c>
      <c r="AC26" s="6">
        <v>32.353999999999999</v>
      </c>
      <c r="AD26" s="6" t="s">
        <v>69</v>
      </c>
      <c r="AE26" s="6">
        <v>0.32300000000000001</v>
      </c>
      <c r="AF26" s="6">
        <v>1.677</v>
      </c>
      <c r="AG26" s="6">
        <v>4.4999999999999998E-2</v>
      </c>
      <c r="AH26" s="6">
        <v>1033.8</v>
      </c>
      <c r="AI26" s="6">
        <v>180.15100000000001</v>
      </c>
      <c r="AJ26" s="6">
        <v>31.927</v>
      </c>
      <c r="AK26" s="6">
        <v>39.881</v>
      </c>
      <c r="AL26" s="6" t="s">
        <v>69</v>
      </c>
    </row>
    <row r="27" spans="1:42" ht="15.75" x14ac:dyDescent="0.25">
      <c r="A27" s="13">
        <v>35612</v>
      </c>
      <c r="B27" s="6">
        <v>545.3035272300001</v>
      </c>
      <c r="C27" s="6">
        <v>47.670522290000001</v>
      </c>
      <c r="D27" s="6">
        <v>1139.3402631599999</v>
      </c>
      <c r="E27" s="6">
        <v>689.77525216000004</v>
      </c>
      <c r="F27" s="6" t="s">
        <v>69</v>
      </c>
      <c r="G27" s="6" t="s">
        <v>69</v>
      </c>
      <c r="H27" s="6" t="s">
        <v>69</v>
      </c>
      <c r="I27" s="6" t="s">
        <v>69</v>
      </c>
      <c r="J27" s="2">
        <f>93830/1000</f>
        <v>93.83</v>
      </c>
      <c r="K27" s="2">
        <f>22322/1000</f>
        <v>22.321999999999999</v>
      </c>
      <c r="L27" s="2">
        <f>12/1000</f>
        <v>1.2E-2</v>
      </c>
      <c r="M27" s="2">
        <f>20403/1000</f>
        <v>20.402999999999999</v>
      </c>
      <c r="N27" s="2">
        <v>13.784000000000001</v>
      </c>
      <c r="O27" s="6">
        <v>179.04620202999999</v>
      </c>
      <c r="P27" s="2">
        <v>43.951999999999998</v>
      </c>
      <c r="Q27" s="6">
        <v>1.724</v>
      </c>
      <c r="R27" s="6">
        <v>203.24322047999999</v>
      </c>
      <c r="S27" s="6">
        <v>96.312728019999994</v>
      </c>
      <c r="T27" s="6" t="s">
        <v>69</v>
      </c>
      <c r="U27" s="6" t="s">
        <v>69</v>
      </c>
      <c r="V27" s="6" t="s">
        <v>69</v>
      </c>
      <c r="W27" s="6">
        <v>16.210760669999999</v>
      </c>
      <c r="X27" s="6" t="s">
        <v>69</v>
      </c>
      <c r="Y27" s="6" t="s">
        <v>69</v>
      </c>
      <c r="Z27" s="6">
        <v>45.845999999999997</v>
      </c>
      <c r="AA27" s="6">
        <v>0.88100000000000001</v>
      </c>
      <c r="AB27" s="6">
        <v>221.018</v>
      </c>
      <c r="AC27" s="6">
        <v>37.280999999999999</v>
      </c>
      <c r="AD27" s="6" t="s">
        <v>69</v>
      </c>
      <c r="AE27" s="6">
        <v>0.23400000000000001</v>
      </c>
      <c r="AF27" s="6">
        <v>1.9370000000000001</v>
      </c>
      <c r="AG27" s="6">
        <v>8.2000000000000003E-2</v>
      </c>
      <c r="AH27" s="6">
        <v>1572.1</v>
      </c>
      <c r="AI27" s="6">
        <v>309.12700000000001</v>
      </c>
      <c r="AJ27" s="6">
        <v>32.76</v>
      </c>
      <c r="AK27" s="6">
        <v>52.043999999999997</v>
      </c>
      <c r="AL27" s="6" t="s">
        <v>69</v>
      </c>
    </row>
    <row r="28" spans="1:42" ht="15.75" x14ac:dyDescent="0.25">
      <c r="A28" s="13">
        <v>35643</v>
      </c>
      <c r="B28" s="6">
        <v>625.53179258</v>
      </c>
      <c r="C28" s="6">
        <v>43.451456409999999</v>
      </c>
      <c r="D28" s="6">
        <v>1254.1714655000001</v>
      </c>
      <c r="E28" s="6">
        <v>659.82065471999999</v>
      </c>
      <c r="F28" s="6" t="s">
        <v>69</v>
      </c>
      <c r="G28" s="6" t="s">
        <v>69</v>
      </c>
      <c r="H28" s="6" t="s">
        <v>69</v>
      </c>
      <c r="I28" s="6" t="s">
        <v>69</v>
      </c>
      <c r="J28" s="2">
        <f>106584/1000</f>
        <v>106.584</v>
      </c>
      <c r="K28" s="2">
        <f>21171/1000</f>
        <v>21.170999999999999</v>
      </c>
      <c r="L28" s="2">
        <f>7341/1000</f>
        <v>7.3410000000000002</v>
      </c>
      <c r="M28" s="2">
        <f>15206/1000</f>
        <v>15.206</v>
      </c>
      <c r="N28" s="2">
        <v>13.07</v>
      </c>
      <c r="O28" s="6">
        <v>162.67501679</v>
      </c>
      <c r="P28" s="2">
        <v>44.872</v>
      </c>
      <c r="Q28" s="6">
        <v>4.4050000000000002</v>
      </c>
      <c r="R28" s="6">
        <v>170.40241151999999</v>
      </c>
      <c r="S28" s="6">
        <v>129.34294315</v>
      </c>
      <c r="T28" s="6" t="s">
        <v>69</v>
      </c>
      <c r="U28" s="6" t="s">
        <v>69</v>
      </c>
      <c r="V28" s="6" t="s">
        <v>69</v>
      </c>
      <c r="W28" s="6">
        <v>77.891073449999993</v>
      </c>
      <c r="X28" s="6" t="s">
        <v>69</v>
      </c>
      <c r="Y28" s="6" t="s">
        <v>69</v>
      </c>
      <c r="Z28" s="6">
        <v>44.627000000000002</v>
      </c>
      <c r="AA28" s="6">
        <v>0.41499999999999998</v>
      </c>
      <c r="AB28" s="6">
        <v>206.339</v>
      </c>
      <c r="AC28" s="6">
        <v>32.929000000000002</v>
      </c>
      <c r="AD28" s="6" t="s">
        <v>69</v>
      </c>
      <c r="AE28" s="6">
        <v>0.23100000000000001</v>
      </c>
      <c r="AF28" s="6">
        <v>1.2809999999999999</v>
      </c>
      <c r="AG28" s="6">
        <v>0.02</v>
      </c>
      <c r="AH28" s="6">
        <v>1047</v>
      </c>
      <c r="AI28" s="6">
        <v>184.09899999999999</v>
      </c>
      <c r="AJ28" s="6">
        <v>30.896999999999998</v>
      </c>
      <c r="AK28" s="6">
        <v>40.542999999999999</v>
      </c>
      <c r="AL28" s="6" t="s">
        <v>69</v>
      </c>
    </row>
    <row r="29" spans="1:42" ht="15.75" x14ac:dyDescent="0.25">
      <c r="A29" s="13">
        <v>35674</v>
      </c>
      <c r="B29" s="6">
        <v>528.44813562000002</v>
      </c>
      <c r="C29" s="6">
        <v>46.4527474</v>
      </c>
      <c r="D29" s="6">
        <v>1250.67840396</v>
      </c>
      <c r="E29" s="6">
        <v>785.84867196999994</v>
      </c>
      <c r="F29" s="6" t="s">
        <v>69</v>
      </c>
      <c r="G29" s="6" t="s">
        <v>69</v>
      </c>
      <c r="H29" s="6" t="s">
        <v>69</v>
      </c>
      <c r="I29" s="6" t="s">
        <v>69</v>
      </c>
      <c r="J29" s="2">
        <f>116438/1000</f>
        <v>116.438</v>
      </c>
      <c r="K29" s="2">
        <f>24045/1000</f>
        <v>24.045000000000002</v>
      </c>
      <c r="L29" s="2">
        <f>10508/1000</f>
        <v>10.507999999999999</v>
      </c>
      <c r="M29" s="2">
        <f>9404/1000</f>
        <v>9.4039999999999999</v>
      </c>
      <c r="N29" s="2">
        <v>20.11</v>
      </c>
      <c r="O29" s="6">
        <v>111.93120657999999</v>
      </c>
      <c r="P29" s="2">
        <v>48.185000000000002</v>
      </c>
      <c r="Q29" s="6">
        <v>1.681</v>
      </c>
      <c r="R29" s="6">
        <v>194.58960171999999</v>
      </c>
      <c r="S29" s="6">
        <v>141.80926427</v>
      </c>
      <c r="T29" s="6" t="s">
        <v>69</v>
      </c>
      <c r="U29" s="6" t="s">
        <v>69</v>
      </c>
      <c r="V29" s="6" t="s">
        <v>69</v>
      </c>
      <c r="W29" s="6">
        <v>8.1679679600000004</v>
      </c>
      <c r="X29" s="6" t="s">
        <v>69</v>
      </c>
      <c r="Y29" s="6" t="s">
        <v>69</v>
      </c>
      <c r="Z29" s="6">
        <v>42.13</v>
      </c>
      <c r="AA29" s="6">
        <v>0.627</v>
      </c>
      <c r="AB29" s="6">
        <v>223.01</v>
      </c>
      <c r="AC29" s="6">
        <v>34.436999999999998</v>
      </c>
      <c r="AD29" s="6" t="s">
        <v>69</v>
      </c>
      <c r="AE29" s="6">
        <v>0.249</v>
      </c>
      <c r="AF29" s="6">
        <v>1.681</v>
      </c>
      <c r="AG29" s="6">
        <v>1.2999999999999999E-2</v>
      </c>
      <c r="AH29" s="6">
        <v>1084.5999999999999</v>
      </c>
      <c r="AI29" s="6">
        <v>202.14</v>
      </c>
      <c r="AJ29" s="6">
        <v>30.468</v>
      </c>
      <c r="AK29" s="6">
        <v>43.045000000000002</v>
      </c>
      <c r="AL29" s="6" t="s">
        <v>69</v>
      </c>
    </row>
    <row r="30" spans="1:42" ht="15.75" x14ac:dyDescent="0.25">
      <c r="A30" s="13">
        <v>35704</v>
      </c>
      <c r="B30" s="6">
        <v>649.90264774999991</v>
      </c>
      <c r="C30" s="6">
        <v>46.173400489999999</v>
      </c>
      <c r="D30" s="6">
        <v>1228.1558526599999</v>
      </c>
      <c r="E30" s="6">
        <v>745.15389821999997</v>
      </c>
      <c r="F30" s="6" t="s">
        <v>69</v>
      </c>
      <c r="G30" s="6" t="s">
        <v>69</v>
      </c>
      <c r="H30" s="6" t="s">
        <v>69</v>
      </c>
      <c r="I30" s="6" t="s">
        <v>69</v>
      </c>
      <c r="J30" s="2">
        <f>102912/1000</f>
        <v>102.91200000000001</v>
      </c>
      <c r="K30" s="2">
        <f>22397/1000</f>
        <v>22.396999999999998</v>
      </c>
      <c r="L30" s="2">
        <f>2666/1000</f>
        <v>2.6659999999999999</v>
      </c>
      <c r="M30" s="2">
        <f>16432/1000</f>
        <v>16.431999999999999</v>
      </c>
      <c r="N30" s="2">
        <v>15.569000000000001</v>
      </c>
      <c r="O30" s="6">
        <v>311.30348807000001</v>
      </c>
      <c r="P30" s="2">
        <v>63.03</v>
      </c>
      <c r="Q30" s="6">
        <v>12.379</v>
      </c>
      <c r="R30" s="6">
        <v>197.51069523999999</v>
      </c>
      <c r="S30" s="6">
        <v>114.51155557</v>
      </c>
      <c r="T30" s="6" t="s">
        <v>69</v>
      </c>
      <c r="U30" s="6" t="s">
        <v>69</v>
      </c>
      <c r="V30" s="6" t="s">
        <v>69</v>
      </c>
      <c r="W30" s="6">
        <v>71.349695310000001</v>
      </c>
      <c r="X30" s="6" t="s">
        <v>69</v>
      </c>
      <c r="Y30" s="6" t="s">
        <v>69</v>
      </c>
      <c r="Z30" s="6">
        <v>36.850999999999999</v>
      </c>
      <c r="AA30" s="6">
        <v>0.159</v>
      </c>
      <c r="AB30" s="6">
        <v>232.40899999999999</v>
      </c>
      <c r="AC30" s="6">
        <v>35.408999999999999</v>
      </c>
      <c r="AD30" s="6" t="s">
        <v>69</v>
      </c>
      <c r="AE30" s="6">
        <v>0.29299999999999998</v>
      </c>
      <c r="AF30" s="6">
        <v>1.831</v>
      </c>
      <c r="AG30" s="6">
        <v>7.0000000000000007E-2</v>
      </c>
      <c r="AH30" s="6">
        <v>1115.0999999999999</v>
      </c>
      <c r="AI30" s="6">
        <v>226.31299999999999</v>
      </c>
      <c r="AJ30" s="6">
        <v>29.536999999999999</v>
      </c>
      <c r="AK30" s="6">
        <v>43.59</v>
      </c>
      <c r="AL30" s="6" t="s">
        <v>69</v>
      </c>
    </row>
    <row r="31" spans="1:42" ht="15.75" x14ac:dyDescent="0.25">
      <c r="A31" s="13">
        <v>35735</v>
      </c>
      <c r="B31" s="6">
        <v>722.50808916999995</v>
      </c>
      <c r="C31" s="6">
        <v>43.91679018</v>
      </c>
      <c r="D31" s="6">
        <v>1235.44741331</v>
      </c>
      <c r="E31" s="6">
        <v>638.42250214000001</v>
      </c>
      <c r="F31" s="6" t="s">
        <v>69</v>
      </c>
      <c r="G31" s="6" t="s">
        <v>69</v>
      </c>
      <c r="H31" s="6" t="s">
        <v>69</v>
      </c>
      <c r="I31" s="6" t="s">
        <v>69</v>
      </c>
      <c r="J31" s="2">
        <f>117608/1000</f>
        <v>117.608</v>
      </c>
      <c r="K31" s="2">
        <f>21207/1000</f>
        <v>21.207000000000001</v>
      </c>
      <c r="L31" s="2">
        <f>27361/1000</f>
        <v>27.361000000000001</v>
      </c>
      <c r="M31" s="2">
        <f>16611/1000</f>
        <v>16.611000000000001</v>
      </c>
      <c r="N31" s="2">
        <v>13.582000000000001</v>
      </c>
      <c r="O31" s="6">
        <v>152.85805525999999</v>
      </c>
      <c r="P31" s="2">
        <v>50.863</v>
      </c>
      <c r="Q31" s="6">
        <v>5.5990000000000002</v>
      </c>
      <c r="R31" s="6">
        <v>193.19676446</v>
      </c>
      <c r="S31" s="6">
        <v>169.89959787000001</v>
      </c>
      <c r="T31" s="6" t="s">
        <v>69</v>
      </c>
      <c r="U31" s="6" t="s">
        <v>69</v>
      </c>
      <c r="V31" s="6" t="s">
        <v>69</v>
      </c>
      <c r="W31" s="6">
        <v>7.63452267</v>
      </c>
      <c r="X31" s="6" t="s">
        <v>69</v>
      </c>
      <c r="Y31" s="6" t="s">
        <v>69</v>
      </c>
      <c r="Z31" s="6">
        <v>45.865000000000002</v>
      </c>
      <c r="AA31" s="6">
        <v>0.122</v>
      </c>
      <c r="AB31" s="6">
        <v>223.50700000000001</v>
      </c>
      <c r="AC31" s="6">
        <v>34.75</v>
      </c>
      <c r="AD31" s="6" t="s">
        <v>69</v>
      </c>
      <c r="AE31" s="6">
        <v>0.27400000000000002</v>
      </c>
      <c r="AF31" s="6">
        <v>1.643</v>
      </c>
      <c r="AG31" s="6">
        <v>4.4999999999999998E-2</v>
      </c>
      <c r="AH31" s="6">
        <v>1070.4000000000001</v>
      </c>
      <c r="AI31" s="6">
        <v>205.35400000000001</v>
      </c>
      <c r="AJ31" s="6">
        <v>26.045999999999999</v>
      </c>
      <c r="AK31" s="6">
        <v>42.45</v>
      </c>
      <c r="AL31" s="6" t="s">
        <v>69</v>
      </c>
    </row>
    <row r="32" spans="1:42" ht="15.75" x14ac:dyDescent="0.25">
      <c r="A32" s="13">
        <v>35765</v>
      </c>
      <c r="B32" s="6">
        <v>599.82603977999997</v>
      </c>
      <c r="C32" s="6">
        <v>43.180474629999999</v>
      </c>
      <c r="D32" s="6">
        <v>1260.72843367</v>
      </c>
      <c r="E32" s="6">
        <v>644.94811092999998</v>
      </c>
      <c r="F32" s="6" t="s">
        <v>69</v>
      </c>
      <c r="G32" s="6" t="s">
        <v>69</v>
      </c>
      <c r="H32" s="6" t="s">
        <v>69</v>
      </c>
      <c r="I32" s="6" t="s">
        <v>69</v>
      </c>
      <c r="J32" s="2">
        <f>113862/1000</f>
        <v>113.86199999999999</v>
      </c>
      <c r="K32" s="2">
        <f>20243/1000</f>
        <v>20.242999999999999</v>
      </c>
      <c r="L32" s="2">
        <f>55420/1000</f>
        <v>55.42</v>
      </c>
      <c r="M32" s="2">
        <f>15695/1000</f>
        <v>15.695</v>
      </c>
      <c r="N32" s="2">
        <v>19.346</v>
      </c>
      <c r="O32" s="6">
        <v>159.08667489999999</v>
      </c>
      <c r="P32" s="2">
        <v>49.569000000000003</v>
      </c>
      <c r="Q32" s="6">
        <v>2.3199999999999998</v>
      </c>
      <c r="R32" s="6">
        <v>249.07014283000001</v>
      </c>
      <c r="S32" s="6">
        <v>235.16466270999999</v>
      </c>
      <c r="T32" s="6" t="s">
        <v>69</v>
      </c>
      <c r="U32" s="6" t="s">
        <v>69</v>
      </c>
      <c r="V32" s="6" t="s">
        <v>69</v>
      </c>
      <c r="W32" s="6">
        <v>72.924053009999994</v>
      </c>
      <c r="X32" s="6" t="s">
        <v>69</v>
      </c>
      <c r="Y32" s="6" t="s">
        <v>69</v>
      </c>
      <c r="Z32" s="6">
        <v>46.082000000000001</v>
      </c>
      <c r="AA32" s="6">
        <f>80/1000</f>
        <v>0.08</v>
      </c>
      <c r="AB32" s="6">
        <v>204.77199999999999</v>
      </c>
      <c r="AC32" s="6">
        <v>32.405999999999999</v>
      </c>
      <c r="AD32" s="6" t="s">
        <v>69</v>
      </c>
      <c r="AE32" s="6">
        <v>0.39200000000000002</v>
      </c>
      <c r="AF32" s="6">
        <v>1.367</v>
      </c>
      <c r="AG32" s="6">
        <v>2.1000000000000001E-2</v>
      </c>
      <c r="AH32" s="6">
        <v>1162.7</v>
      </c>
      <c r="AI32" s="6">
        <v>202.46299999999999</v>
      </c>
      <c r="AJ32" s="6">
        <v>25.119</v>
      </c>
      <c r="AK32" s="6">
        <v>41.430999999999997</v>
      </c>
      <c r="AL32" s="7" t="s">
        <v>69</v>
      </c>
    </row>
    <row r="33" spans="1:38" ht="15.75" x14ac:dyDescent="0.25">
      <c r="A33" s="13">
        <v>35796</v>
      </c>
      <c r="B33" s="6">
        <v>616.42548852000004</v>
      </c>
      <c r="C33" s="6">
        <v>36.157219550000001</v>
      </c>
      <c r="D33" s="6">
        <v>1379.61723594</v>
      </c>
      <c r="E33" s="6">
        <v>622.02992523</v>
      </c>
      <c r="F33" s="6" t="s">
        <v>69</v>
      </c>
      <c r="G33" s="6" t="s">
        <v>69</v>
      </c>
      <c r="H33" s="6" t="s">
        <v>69</v>
      </c>
      <c r="I33" s="6" t="s">
        <v>69</v>
      </c>
      <c r="J33" s="6">
        <v>103.804</v>
      </c>
      <c r="K33" s="6">
        <v>21.556999999999999</v>
      </c>
      <c r="L33" s="6">
        <v>34.101999999999997</v>
      </c>
      <c r="M33" s="6">
        <v>8.8320000000000007</v>
      </c>
      <c r="N33" s="6">
        <v>17.062000000000001</v>
      </c>
      <c r="O33" s="6">
        <v>257.00038453000002</v>
      </c>
      <c r="P33" s="6">
        <v>37.378999999999998</v>
      </c>
      <c r="Q33" s="6">
        <v>1.069</v>
      </c>
      <c r="R33" s="6">
        <v>151.46584901</v>
      </c>
      <c r="S33" s="6">
        <v>37.097698459999997</v>
      </c>
      <c r="T33" s="6" t="s">
        <v>69</v>
      </c>
      <c r="U33" s="6" t="s">
        <v>69</v>
      </c>
      <c r="V33" s="6" t="s">
        <v>69</v>
      </c>
      <c r="W33" s="6">
        <v>6.3818035200000001</v>
      </c>
      <c r="X33" s="6" t="s">
        <v>69</v>
      </c>
      <c r="Y33" s="6" t="s">
        <v>69</v>
      </c>
      <c r="Z33" s="6">
        <v>48.323</v>
      </c>
      <c r="AA33" s="6">
        <v>5.1852700000000002E-2</v>
      </c>
      <c r="AB33" s="6">
        <v>205.886</v>
      </c>
      <c r="AC33" s="6">
        <v>18.542999999999999</v>
      </c>
      <c r="AD33" s="6" t="s">
        <v>69</v>
      </c>
      <c r="AE33" s="6">
        <v>0.60599999999999998</v>
      </c>
      <c r="AF33" s="6">
        <v>1.7290000000000001</v>
      </c>
      <c r="AG33" s="6">
        <v>3.4000000000000002E-2</v>
      </c>
      <c r="AH33" s="6">
        <v>1544.7</v>
      </c>
      <c r="AI33" s="6">
        <v>306.41000000000003</v>
      </c>
      <c r="AJ33" s="6">
        <v>26.925999999999998</v>
      </c>
      <c r="AK33" s="6">
        <v>55.484000000000002</v>
      </c>
      <c r="AL33" s="6" t="s">
        <v>69</v>
      </c>
    </row>
    <row r="34" spans="1:38" ht="15.75" x14ac:dyDescent="0.25">
      <c r="A34" s="13">
        <v>35827</v>
      </c>
      <c r="B34" s="6">
        <v>654.03778432000001</v>
      </c>
      <c r="C34" s="6">
        <v>35.187765450000001</v>
      </c>
      <c r="D34" s="6">
        <v>1240.7434427399999</v>
      </c>
      <c r="E34" s="6">
        <v>551.93449266999994</v>
      </c>
      <c r="F34" s="6" t="s">
        <v>69</v>
      </c>
      <c r="G34" s="6" t="s">
        <v>69</v>
      </c>
      <c r="H34" s="6" t="s">
        <v>69</v>
      </c>
      <c r="I34" s="6" t="s">
        <v>69</v>
      </c>
      <c r="J34" s="6">
        <v>124.18</v>
      </c>
      <c r="K34" s="6">
        <v>23.29</v>
      </c>
      <c r="L34" s="6">
        <v>5.532</v>
      </c>
      <c r="M34" s="6">
        <v>3.149</v>
      </c>
      <c r="N34" s="6">
        <v>13.772</v>
      </c>
      <c r="O34" s="6">
        <v>98.173151750000002</v>
      </c>
      <c r="P34" s="6">
        <v>34.148000000000003</v>
      </c>
      <c r="Q34" s="6">
        <v>0.157</v>
      </c>
      <c r="R34" s="6">
        <v>229.85255634999999</v>
      </c>
      <c r="S34" s="6">
        <v>60.064195040000001</v>
      </c>
      <c r="T34" s="6" t="s">
        <v>69</v>
      </c>
      <c r="U34" s="6" t="s">
        <v>69</v>
      </c>
      <c r="V34" s="6" t="s">
        <v>69</v>
      </c>
      <c r="W34" s="6">
        <v>71.632562910000004</v>
      </c>
      <c r="X34" s="6" t="s">
        <v>69</v>
      </c>
      <c r="Y34" s="6" t="s">
        <v>69</v>
      </c>
      <c r="Z34" s="6">
        <v>39.113999999999997</v>
      </c>
      <c r="AA34" s="6">
        <v>4.5443480000000001E-2</v>
      </c>
      <c r="AB34" s="6">
        <v>178.63300000000001</v>
      </c>
      <c r="AC34" s="6">
        <v>4.556</v>
      </c>
      <c r="AD34" s="6" t="s">
        <v>69</v>
      </c>
      <c r="AE34" s="6">
        <v>0.44500000000000001</v>
      </c>
      <c r="AF34" s="6">
        <v>1.631</v>
      </c>
      <c r="AG34" s="6">
        <v>1.2E-2</v>
      </c>
      <c r="AH34" s="6">
        <v>1111</v>
      </c>
      <c r="AI34" s="6">
        <v>222.77</v>
      </c>
      <c r="AJ34" s="6">
        <v>23.137</v>
      </c>
      <c r="AK34" s="6">
        <v>44.594999999999999</v>
      </c>
      <c r="AL34" s="6" t="s">
        <v>69</v>
      </c>
    </row>
    <row r="35" spans="1:38" ht="15.75" x14ac:dyDescent="0.25">
      <c r="A35" s="13">
        <v>35855</v>
      </c>
      <c r="B35" s="6">
        <v>548.19866060000004</v>
      </c>
      <c r="C35" s="6">
        <v>44.649996989999998</v>
      </c>
      <c r="D35" s="6">
        <v>1178.4726552099999</v>
      </c>
      <c r="E35" s="6">
        <v>690.65707165000003</v>
      </c>
      <c r="F35" s="6" t="s">
        <v>69</v>
      </c>
      <c r="G35" s="6" t="s">
        <v>69</v>
      </c>
      <c r="H35" s="6" t="s">
        <v>69</v>
      </c>
      <c r="I35" s="6" t="s">
        <v>69</v>
      </c>
      <c r="J35" s="6">
        <v>115.59099999999999</v>
      </c>
      <c r="K35" s="6">
        <v>23.082999999999998</v>
      </c>
      <c r="L35" s="6">
        <v>10.516</v>
      </c>
      <c r="M35" s="6">
        <v>7.9740000000000002</v>
      </c>
      <c r="N35" s="6">
        <v>19.763000000000002</v>
      </c>
      <c r="O35" s="6">
        <v>42.266120090000001</v>
      </c>
      <c r="P35" s="6">
        <v>43.874000000000002</v>
      </c>
      <c r="Q35" s="6">
        <v>0.39400000000000002</v>
      </c>
      <c r="R35" s="6">
        <v>189.70859132999999</v>
      </c>
      <c r="S35" s="6">
        <v>94.875829899999999</v>
      </c>
      <c r="T35" s="6" t="s">
        <v>69</v>
      </c>
      <c r="U35" s="6" t="s">
        <v>69</v>
      </c>
      <c r="V35" s="6" t="s">
        <v>69</v>
      </c>
      <c r="W35" s="6">
        <v>8.2860223699999995</v>
      </c>
      <c r="X35" s="6" t="s">
        <v>69</v>
      </c>
      <c r="Y35" s="6" t="s">
        <v>69</v>
      </c>
      <c r="Z35" s="6">
        <v>32.19</v>
      </c>
      <c r="AA35" s="6">
        <v>1.2450842099999999</v>
      </c>
      <c r="AB35" s="6">
        <v>241.095</v>
      </c>
      <c r="AC35" s="6">
        <v>6.4829999999999997</v>
      </c>
      <c r="AD35" s="6" t="s">
        <v>69</v>
      </c>
      <c r="AE35" s="6">
        <v>0.379</v>
      </c>
      <c r="AF35" s="6">
        <v>1.843</v>
      </c>
      <c r="AG35" s="6">
        <v>4.2000000000000003E-2</v>
      </c>
      <c r="AH35" s="6">
        <v>1067.2</v>
      </c>
      <c r="AI35" s="6">
        <v>211.75899999999999</v>
      </c>
      <c r="AJ35" s="6">
        <v>24.484999999999999</v>
      </c>
      <c r="AK35" s="6">
        <v>44.335999999999999</v>
      </c>
      <c r="AL35" s="6" t="s">
        <v>69</v>
      </c>
    </row>
    <row r="36" spans="1:38" ht="15.75" x14ac:dyDescent="0.25">
      <c r="A36" s="13">
        <v>35886</v>
      </c>
      <c r="B36" s="6">
        <v>715.92716339000003</v>
      </c>
      <c r="C36" s="6">
        <v>42.139088190000002</v>
      </c>
      <c r="D36" s="6">
        <v>1246.3767728100001</v>
      </c>
      <c r="E36" s="6">
        <v>667.22372461999998</v>
      </c>
      <c r="F36" s="6" t="s">
        <v>69</v>
      </c>
      <c r="G36" s="6" t="s">
        <v>69</v>
      </c>
      <c r="H36" s="6" t="s">
        <v>69</v>
      </c>
      <c r="I36" s="6" t="s">
        <v>69</v>
      </c>
      <c r="J36" s="6">
        <v>109.922</v>
      </c>
      <c r="K36" s="6">
        <v>24.991</v>
      </c>
      <c r="L36" s="6">
        <v>17.736000000000001</v>
      </c>
      <c r="M36" s="6">
        <v>14.9</v>
      </c>
      <c r="N36" s="6">
        <v>15.878</v>
      </c>
      <c r="O36" s="6">
        <v>312.69104234999998</v>
      </c>
      <c r="P36" s="6">
        <v>55.118000000000002</v>
      </c>
      <c r="Q36" s="6">
        <v>0.16800000000000001</v>
      </c>
      <c r="R36" s="6">
        <v>172.16032956000001</v>
      </c>
      <c r="S36" s="6">
        <v>110.01388792</v>
      </c>
      <c r="T36" s="6" t="s">
        <v>69</v>
      </c>
      <c r="U36" s="6" t="s">
        <v>69</v>
      </c>
      <c r="V36" s="6" t="s">
        <v>69</v>
      </c>
      <c r="W36" s="6">
        <v>86.460608019999995</v>
      </c>
      <c r="X36" s="6" t="s">
        <v>69</v>
      </c>
      <c r="Y36" s="6" t="s">
        <v>69</v>
      </c>
      <c r="Z36" s="6">
        <v>29.84</v>
      </c>
      <c r="AA36" s="6">
        <v>3.9005855399999998</v>
      </c>
      <c r="AB36" s="6">
        <v>231.10900000000001</v>
      </c>
      <c r="AC36" s="6">
        <v>5.508</v>
      </c>
      <c r="AD36" s="6" t="s">
        <v>69</v>
      </c>
      <c r="AE36" s="6">
        <v>0.52500000000000002</v>
      </c>
      <c r="AF36" s="6">
        <v>1.238</v>
      </c>
      <c r="AG36" s="6">
        <v>1.4999999999999999E-2</v>
      </c>
      <c r="AH36" s="6">
        <v>1074.5</v>
      </c>
      <c r="AI36" s="6">
        <v>212.66</v>
      </c>
      <c r="AJ36" s="6">
        <v>22.274999999999999</v>
      </c>
      <c r="AK36" s="6">
        <v>44.44</v>
      </c>
      <c r="AL36" s="6" t="s">
        <v>69</v>
      </c>
    </row>
    <row r="37" spans="1:38" ht="15.75" x14ac:dyDescent="0.25">
      <c r="A37" s="13">
        <v>35916</v>
      </c>
      <c r="B37" s="6">
        <v>1346.35737866</v>
      </c>
      <c r="C37" s="6">
        <v>42.057277499999998</v>
      </c>
      <c r="D37" s="6">
        <v>1182.4862401299999</v>
      </c>
      <c r="E37" s="6">
        <v>624.69378942000003</v>
      </c>
      <c r="F37" s="6" t="s">
        <v>69</v>
      </c>
      <c r="G37" s="6" t="s">
        <v>69</v>
      </c>
      <c r="H37" s="6" t="s">
        <v>69</v>
      </c>
      <c r="I37" s="6" t="s">
        <v>69</v>
      </c>
      <c r="J37" s="6">
        <v>106.461</v>
      </c>
      <c r="K37" s="6">
        <v>22.524000000000001</v>
      </c>
      <c r="L37" s="6">
        <v>11.122</v>
      </c>
      <c r="M37" s="6">
        <v>14.444000000000001</v>
      </c>
      <c r="N37" s="6">
        <v>12.691000000000001</v>
      </c>
      <c r="O37" s="6">
        <v>79.489652699999994</v>
      </c>
      <c r="P37" s="6">
        <v>45.103999999999999</v>
      </c>
      <c r="Q37" s="6">
        <v>5.8000000000000003E-2</v>
      </c>
      <c r="R37" s="6">
        <v>201.79132240000001</v>
      </c>
      <c r="S37" s="6">
        <v>116.91518742</v>
      </c>
      <c r="T37" s="6" t="s">
        <v>69</v>
      </c>
      <c r="U37" s="6" t="s">
        <v>69</v>
      </c>
      <c r="V37" s="6" t="s">
        <v>69</v>
      </c>
      <c r="W37" s="6">
        <v>81.352169020000005</v>
      </c>
      <c r="X37" s="6" t="s">
        <v>69</v>
      </c>
      <c r="Y37" s="6" t="s">
        <v>69</v>
      </c>
      <c r="Z37" s="6">
        <v>38.887999999999998</v>
      </c>
      <c r="AA37" s="6">
        <v>5.5439425</v>
      </c>
      <c r="AB37" s="6">
        <v>222.63399999999999</v>
      </c>
      <c r="AC37" s="6">
        <v>5.4349999999999996</v>
      </c>
      <c r="AD37" s="6" t="s">
        <v>69</v>
      </c>
      <c r="AE37" s="6">
        <v>0.42699999999999999</v>
      </c>
      <c r="AF37" s="6">
        <v>1.3660000000000001</v>
      </c>
      <c r="AG37" s="6">
        <v>4.2999999999999997E-2</v>
      </c>
      <c r="AH37" s="6">
        <v>1095.5999999999999</v>
      </c>
      <c r="AI37" s="6">
        <v>210.828</v>
      </c>
      <c r="AJ37" s="6">
        <v>14.736000000000001</v>
      </c>
      <c r="AK37" s="6">
        <v>43.685000000000002</v>
      </c>
      <c r="AL37" s="6" t="s">
        <v>69</v>
      </c>
    </row>
    <row r="38" spans="1:38" ht="15.75" x14ac:dyDescent="0.25">
      <c r="A38" s="13">
        <v>35947</v>
      </c>
      <c r="B38" s="6">
        <v>965.32103993999999</v>
      </c>
      <c r="C38" s="6">
        <v>46.966368439999997</v>
      </c>
      <c r="D38" s="6">
        <v>1234.9180395599999</v>
      </c>
      <c r="E38" s="6">
        <v>687.09125219999999</v>
      </c>
      <c r="F38" s="6" t="s">
        <v>69</v>
      </c>
      <c r="G38" s="6" t="s">
        <v>69</v>
      </c>
      <c r="H38" s="6" t="s">
        <v>69</v>
      </c>
      <c r="I38" s="6" t="s">
        <v>69</v>
      </c>
      <c r="J38" s="6">
        <v>105.38</v>
      </c>
      <c r="K38" s="6">
        <v>22.859000000000002</v>
      </c>
      <c r="L38" s="6">
        <v>21.058</v>
      </c>
      <c r="M38" s="6">
        <v>16.321999999999999</v>
      </c>
      <c r="N38" s="6">
        <v>20.173999999999999</v>
      </c>
      <c r="O38" s="6">
        <v>34.374527559999997</v>
      </c>
      <c r="P38" s="6">
        <v>37.771000000000001</v>
      </c>
      <c r="Q38" s="6">
        <v>6.4409999999999998</v>
      </c>
      <c r="R38" s="6">
        <v>191.93157051</v>
      </c>
      <c r="S38" s="6">
        <v>119.54184295</v>
      </c>
      <c r="T38" s="6" t="s">
        <v>69</v>
      </c>
      <c r="U38" s="6" t="s">
        <v>69</v>
      </c>
      <c r="V38" s="6" t="s">
        <v>69</v>
      </c>
      <c r="W38" s="6">
        <v>148.68030446</v>
      </c>
      <c r="X38" s="6" t="s">
        <v>69</v>
      </c>
      <c r="Y38" s="6" t="s">
        <v>69</v>
      </c>
      <c r="Z38" s="6">
        <v>31.577999999999999</v>
      </c>
      <c r="AA38" s="6">
        <v>7.4988617199999998</v>
      </c>
      <c r="AB38" s="6">
        <v>235.286</v>
      </c>
      <c r="AC38" s="6">
        <v>6.5709999999999997</v>
      </c>
      <c r="AD38" s="6" t="s">
        <v>69</v>
      </c>
      <c r="AE38" s="6">
        <v>0.51800000000000002</v>
      </c>
      <c r="AF38" s="6">
        <v>1.5660000000000001</v>
      </c>
      <c r="AG38" s="6">
        <v>0.47199999999999998</v>
      </c>
      <c r="AH38" s="6">
        <v>1144.2</v>
      </c>
      <c r="AI38" s="6">
        <v>210.93</v>
      </c>
      <c r="AJ38" s="6">
        <v>10.457000000000001</v>
      </c>
      <c r="AK38" s="6">
        <v>44.133000000000003</v>
      </c>
      <c r="AL38" s="6" t="s">
        <v>69</v>
      </c>
    </row>
    <row r="39" spans="1:38" ht="15.75" x14ac:dyDescent="0.25">
      <c r="A39" s="13">
        <v>35977</v>
      </c>
      <c r="B39" s="6">
        <v>656.21105174000002</v>
      </c>
      <c r="C39" s="6">
        <v>49.279134800000001</v>
      </c>
      <c r="D39" s="6">
        <v>1286.2568610000001</v>
      </c>
      <c r="E39" s="6">
        <v>718.99152571000002</v>
      </c>
      <c r="F39" s="6" t="s">
        <v>69</v>
      </c>
      <c r="G39" s="6" t="s">
        <v>69</v>
      </c>
      <c r="H39" s="6" t="s">
        <v>69</v>
      </c>
      <c r="I39" s="6" t="s">
        <v>69</v>
      </c>
      <c r="J39" s="6">
        <v>108.952</v>
      </c>
      <c r="K39" s="6">
        <v>23.803000000000001</v>
      </c>
      <c r="L39" s="6">
        <v>15.106999999999999</v>
      </c>
      <c r="M39" s="6">
        <v>15.909000000000001</v>
      </c>
      <c r="N39" s="6">
        <v>15.243</v>
      </c>
      <c r="O39" s="6">
        <v>224.46903474999999</v>
      </c>
      <c r="P39" s="6">
        <v>43.768999999999998</v>
      </c>
      <c r="Q39" s="6">
        <v>4.2110000000000003</v>
      </c>
      <c r="R39" s="6">
        <v>188.40950092</v>
      </c>
      <c r="S39" s="6">
        <v>144.34781802000001</v>
      </c>
      <c r="T39" s="6" t="s">
        <v>69</v>
      </c>
      <c r="U39" s="6" t="s">
        <v>69</v>
      </c>
      <c r="V39" s="6" t="s">
        <v>69</v>
      </c>
      <c r="W39" s="6">
        <v>16.173776029999999</v>
      </c>
      <c r="X39" s="6" t="s">
        <v>69</v>
      </c>
      <c r="Y39" s="6" t="s">
        <v>69</v>
      </c>
      <c r="Z39" s="6">
        <v>36.134</v>
      </c>
      <c r="AA39" s="6">
        <v>2.6356252900000001</v>
      </c>
      <c r="AB39" s="6">
        <v>254.57300000000001</v>
      </c>
      <c r="AC39" s="6">
        <v>6.5460000000000003</v>
      </c>
      <c r="AD39" s="6" t="s">
        <v>69</v>
      </c>
      <c r="AE39" s="6">
        <v>0.505</v>
      </c>
      <c r="AF39" s="6">
        <v>1.579</v>
      </c>
      <c r="AG39" s="6">
        <v>2.048</v>
      </c>
      <c r="AH39" s="6">
        <v>1587.5</v>
      </c>
      <c r="AI39" s="6">
        <v>315.12200000000001</v>
      </c>
      <c r="AJ39" s="6">
        <v>9.3719999999999999</v>
      </c>
      <c r="AK39" s="6">
        <v>57.9</v>
      </c>
      <c r="AL39" s="6" t="s">
        <v>69</v>
      </c>
    </row>
    <row r="40" spans="1:38" ht="15.75" x14ac:dyDescent="0.25">
      <c r="A40" s="13">
        <v>36008</v>
      </c>
      <c r="B40" s="6">
        <v>743.99357613000006</v>
      </c>
      <c r="C40" s="6">
        <v>42.422942650000003</v>
      </c>
      <c r="D40" s="6">
        <v>1248.8756634599999</v>
      </c>
      <c r="E40" s="6">
        <v>659.96649012</v>
      </c>
      <c r="F40" s="6" t="s">
        <v>69</v>
      </c>
      <c r="G40" s="6" t="s">
        <v>69</v>
      </c>
      <c r="H40" s="6" t="s">
        <v>69</v>
      </c>
      <c r="I40" s="6" t="s">
        <v>69</v>
      </c>
      <c r="J40" s="6">
        <v>107.90300000000001</v>
      </c>
      <c r="K40" s="6">
        <v>22.832999999999998</v>
      </c>
      <c r="L40" s="6">
        <v>26.181000000000001</v>
      </c>
      <c r="M40" s="6">
        <v>16.009</v>
      </c>
      <c r="N40" s="6">
        <v>16.802</v>
      </c>
      <c r="O40" s="6">
        <v>158.46536545999999</v>
      </c>
      <c r="P40" s="6">
        <v>38.055999999999997</v>
      </c>
      <c r="Q40" s="6">
        <v>0.38100000000000001</v>
      </c>
      <c r="R40" s="6">
        <v>187.48723568</v>
      </c>
      <c r="S40" s="6">
        <v>132.29265457</v>
      </c>
      <c r="T40" s="6" t="s">
        <v>69</v>
      </c>
      <c r="U40" s="6" t="s">
        <v>69</v>
      </c>
      <c r="V40" s="6" t="s">
        <v>69</v>
      </c>
      <c r="W40" s="6">
        <v>97.425189419999995</v>
      </c>
      <c r="X40" s="6" t="s">
        <v>69</v>
      </c>
      <c r="Y40" s="6" t="s">
        <v>69</v>
      </c>
      <c r="Z40" s="6">
        <v>38.939</v>
      </c>
      <c r="AA40" s="6">
        <v>4.08216672</v>
      </c>
      <c r="AB40" s="6">
        <v>235.22499999999999</v>
      </c>
      <c r="AC40" s="6">
        <v>6.0620000000000003</v>
      </c>
      <c r="AD40" s="6" t="s">
        <v>69</v>
      </c>
      <c r="AE40" s="6">
        <v>0.437</v>
      </c>
      <c r="AF40" s="6">
        <v>1.6240000000000001</v>
      </c>
      <c r="AG40" s="6">
        <v>2.0739999999999998</v>
      </c>
      <c r="AH40" s="6">
        <v>1127.0999999999999</v>
      </c>
      <c r="AI40" s="6">
        <v>216.214</v>
      </c>
      <c r="AJ40" s="6">
        <v>8.5779999999999994</v>
      </c>
      <c r="AK40" s="6">
        <v>47.052</v>
      </c>
      <c r="AL40" s="6" t="s">
        <v>69</v>
      </c>
    </row>
    <row r="41" spans="1:38" ht="15.75" x14ac:dyDescent="0.25">
      <c r="A41" s="13">
        <v>36039</v>
      </c>
      <c r="B41" s="6">
        <v>534.99203833999991</v>
      </c>
      <c r="C41" s="6">
        <v>42.450786409999999</v>
      </c>
      <c r="D41" s="6">
        <v>1258.8046084700002</v>
      </c>
      <c r="E41" s="6">
        <v>662.77500817999999</v>
      </c>
      <c r="F41" s="6" t="s">
        <v>69</v>
      </c>
      <c r="G41" s="6" t="s">
        <v>69</v>
      </c>
      <c r="H41" s="6" t="s">
        <v>69</v>
      </c>
      <c r="I41" s="6" t="s">
        <v>69</v>
      </c>
      <c r="J41" s="6">
        <v>108.83799999999999</v>
      </c>
      <c r="K41" s="6">
        <v>21.637</v>
      </c>
      <c r="L41" s="6">
        <v>11.836</v>
      </c>
      <c r="M41" s="6">
        <v>14.256</v>
      </c>
      <c r="N41" s="6">
        <v>16.018000000000001</v>
      </c>
      <c r="O41" s="6">
        <v>51.383305020000002</v>
      </c>
      <c r="P41" s="6">
        <v>43.970999999999997</v>
      </c>
      <c r="Q41" s="6">
        <v>0.23899999999999999</v>
      </c>
      <c r="R41" s="6">
        <v>195.56683279999999</v>
      </c>
      <c r="S41" s="6">
        <v>111.00663522000001</v>
      </c>
      <c r="T41" s="6" t="s">
        <v>69</v>
      </c>
      <c r="U41" s="6" t="s">
        <v>69</v>
      </c>
      <c r="V41" s="6" t="s">
        <v>69</v>
      </c>
      <c r="W41" s="6">
        <v>17.36093554</v>
      </c>
      <c r="X41" s="6" t="s">
        <v>69</v>
      </c>
      <c r="Y41" s="6" t="s">
        <v>69</v>
      </c>
      <c r="Z41" s="6">
        <v>43.378999999999998</v>
      </c>
      <c r="AA41" s="6">
        <v>2.1048915500000001</v>
      </c>
      <c r="AB41" s="6">
        <v>231.81700000000001</v>
      </c>
      <c r="AC41" s="6">
        <v>6.0170000000000003</v>
      </c>
      <c r="AD41" s="6" t="s">
        <v>69</v>
      </c>
      <c r="AE41" s="6">
        <v>0.435</v>
      </c>
      <c r="AF41" s="6">
        <v>1.7150000000000001</v>
      </c>
      <c r="AG41" s="6">
        <v>2.3610000000000002</v>
      </c>
      <c r="AH41" s="6">
        <v>1101</v>
      </c>
      <c r="AI41" s="6">
        <v>212.44499999999999</v>
      </c>
      <c r="AJ41" s="6">
        <v>8.6829999999999998</v>
      </c>
      <c r="AK41" s="6">
        <v>48.124000000000002</v>
      </c>
      <c r="AL41" s="6" t="s">
        <v>69</v>
      </c>
    </row>
    <row r="42" spans="1:38" ht="15.75" x14ac:dyDescent="0.25">
      <c r="A42" s="13">
        <v>36069</v>
      </c>
      <c r="B42" s="6">
        <v>634.51003165999998</v>
      </c>
      <c r="C42" s="6">
        <v>40.844924919999997</v>
      </c>
      <c r="D42" s="6">
        <v>1202.0369428900001</v>
      </c>
      <c r="E42" s="6">
        <v>644.85354746999997</v>
      </c>
      <c r="F42" s="6" t="s">
        <v>69</v>
      </c>
      <c r="G42" s="6" t="s">
        <v>69</v>
      </c>
      <c r="H42" s="6" t="s">
        <v>69</v>
      </c>
      <c r="I42" s="6" t="s">
        <v>69</v>
      </c>
      <c r="J42" s="6">
        <v>112.881</v>
      </c>
      <c r="K42" s="6">
        <v>23.634</v>
      </c>
      <c r="L42" s="6">
        <v>13.670999999999999</v>
      </c>
      <c r="M42" s="6">
        <v>12.555999999999999</v>
      </c>
      <c r="N42" s="6">
        <v>16.327000000000002</v>
      </c>
      <c r="O42" s="6">
        <v>213.30698681999999</v>
      </c>
      <c r="P42" s="6">
        <v>42.683999999999997</v>
      </c>
      <c r="Q42" s="6">
        <v>5.6000000000000001E-2</v>
      </c>
      <c r="R42" s="6">
        <v>192.38448212</v>
      </c>
      <c r="S42" s="6">
        <v>120.11996139999999</v>
      </c>
      <c r="T42" s="6" t="s">
        <v>69</v>
      </c>
      <c r="U42" s="6" t="s">
        <v>69</v>
      </c>
      <c r="V42" s="6" t="s">
        <v>69</v>
      </c>
      <c r="W42" s="6">
        <v>96.374359170000005</v>
      </c>
      <c r="X42" s="6">
        <v>25.626999999999999</v>
      </c>
      <c r="Y42" s="6" t="s">
        <v>69</v>
      </c>
      <c r="Z42" s="6">
        <v>38.218000000000004</v>
      </c>
      <c r="AA42" s="6">
        <v>0.19452356000000001</v>
      </c>
      <c r="AB42" s="6">
        <v>225.554</v>
      </c>
      <c r="AC42" s="6">
        <v>5.7009999999999996</v>
      </c>
      <c r="AD42" s="6" t="s">
        <v>69</v>
      </c>
      <c r="AE42" s="6">
        <v>0.59199999999999997</v>
      </c>
      <c r="AF42" s="6">
        <v>1.9970000000000001</v>
      </c>
      <c r="AG42" s="6">
        <v>2.177</v>
      </c>
      <c r="AH42" s="6">
        <v>1123</v>
      </c>
      <c r="AI42" s="6">
        <v>207.59299999999999</v>
      </c>
      <c r="AJ42" s="6">
        <v>8.0760000000000005</v>
      </c>
      <c r="AK42" s="6">
        <v>46.765000000000001</v>
      </c>
      <c r="AL42" s="6">
        <v>15.349</v>
      </c>
    </row>
    <row r="43" spans="1:38" ht="15.75" x14ac:dyDescent="0.25">
      <c r="A43" s="13">
        <v>36100</v>
      </c>
      <c r="B43" s="6">
        <v>660.41049802999999</v>
      </c>
      <c r="C43" s="6">
        <v>39.57093441</v>
      </c>
      <c r="D43" s="6">
        <v>1222.8871893</v>
      </c>
      <c r="E43" s="6">
        <v>599.75183818000005</v>
      </c>
      <c r="F43" s="6" t="s">
        <v>69</v>
      </c>
      <c r="G43" s="6" t="s">
        <v>69</v>
      </c>
      <c r="H43" s="6" t="s">
        <v>69</v>
      </c>
      <c r="I43" s="6" t="s">
        <v>69</v>
      </c>
      <c r="J43" s="6">
        <v>115.717</v>
      </c>
      <c r="K43" s="6">
        <v>21.032</v>
      </c>
      <c r="L43" s="6">
        <v>9.4529999999999994</v>
      </c>
      <c r="M43" s="6">
        <v>12.792999999999999</v>
      </c>
      <c r="N43" s="6">
        <v>17.937999999999999</v>
      </c>
      <c r="O43" s="6">
        <v>59.768210009999997</v>
      </c>
      <c r="P43" s="6">
        <v>45.531999999999996</v>
      </c>
      <c r="Q43" s="6">
        <v>8.2000000000000003E-2</v>
      </c>
      <c r="R43" s="6">
        <v>198.53141367000001</v>
      </c>
      <c r="S43" s="6">
        <v>132.6780038</v>
      </c>
      <c r="T43" s="6" t="s">
        <v>69</v>
      </c>
      <c r="U43" s="6" t="s">
        <v>69</v>
      </c>
      <c r="V43" s="6" t="s">
        <v>69</v>
      </c>
      <c r="W43" s="6">
        <v>18.62637707</v>
      </c>
      <c r="X43" s="6">
        <v>38.758000000000003</v>
      </c>
      <c r="Y43" s="6" t="s">
        <v>69</v>
      </c>
      <c r="Z43" s="6">
        <v>38.36</v>
      </c>
      <c r="AA43" s="6">
        <v>0.38964569999999998</v>
      </c>
      <c r="AB43" s="6">
        <v>216.703</v>
      </c>
      <c r="AC43" s="6">
        <v>5.4850000000000003</v>
      </c>
      <c r="AD43" s="6" t="s">
        <v>69</v>
      </c>
      <c r="AE43" s="6">
        <v>0.34599999999999997</v>
      </c>
      <c r="AF43" s="6">
        <v>2.0430000000000001</v>
      </c>
      <c r="AG43" s="6">
        <v>2.3069999999999999</v>
      </c>
      <c r="AH43" s="6">
        <v>1096.4000000000001</v>
      </c>
      <c r="AI43" s="6">
        <v>214.304</v>
      </c>
      <c r="AJ43" s="6">
        <v>7.9969999999999999</v>
      </c>
      <c r="AK43" s="6">
        <v>47.886000000000003</v>
      </c>
      <c r="AL43" s="6">
        <v>24.646000000000001</v>
      </c>
    </row>
    <row r="44" spans="1:38" ht="15.75" x14ac:dyDescent="0.25">
      <c r="A44" s="13">
        <v>36130</v>
      </c>
      <c r="B44" s="6">
        <v>912.15529298999991</v>
      </c>
      <c r="C44" s="6">
        <v>38.289492619999997</v>
      </c>
      <c r="D44" s="6">
        <v>1212.8358273900001</v>
      </c>
      <c r="E44" s="6">
        <v>565.66734864</v>
      </c>
      <c r="F44" s="6" t="s">
        <v>69</v>
      </c>
      <c r="G44" s="6" t="s">
        <v>69</v>
      </c>
      <c r="H44" s="6" t="s">
        <v>69</v>
      </c>
      <c r="I44" s="6" t="s">
        <v>69</v>
      </c>
      <c r="J44" s="6">
        <v>111.468</v>
      </c>
      <c r="K44" s="6">
        <v>21.247</v>
      </c>
      <c r="L44" s="6">
        <v>11.007999999999999</v>
      </c>
      <c r="M44" s="6">
        <v>13.673999999999999</v>
      </c>
      <c r="N44" s="6">
        <v>16.148</v>
      </c>
      <c r="O44" s="6">
        <v>201.20181137</v>
      </c>
      <c r="P44" s="6">
        <v>39.527000000000001</v>
      </c>
      <c r="Q44" s="6">
        <v>9.4E-2</v>
      </c>
      <c r="R44" s="6">
        <v>226.09095169</v>
      </c>
      <c r="S44" s="6">
        <v>188.12610361</v>
      </c>
      <c r="T44" s="6" t="s">
        <v>69</v>
      </c>
      <c r="U44" s="6" t="s">
        <v>69</v>
      </c>
      <c r="V44" s="6" t="s">
        <v>69</v>
      </c>
      <c r="W44" s="6">
        <v>123.4511151</v>
      </c>
      <c r="X44" s="6">
        <v>35.244999999999997</v>
      </c>
      <c r="Y44" s="6" t="s">
        <v>69</v>
      </c>
      <c r="Z44" s="6">
        <v>99.384427685000006</v>
      </c>
      <c r="AA44" s="6">
        <v>0.17382765</v>
      </c>
      <c r="AB44" s="6">
        <v>215.489</v>
      </c>
      <c r="AC44" s="6">
        <v>5.0149999999999997</v>
      </c>
      <c r="AD44" s="6" t="s">
        <v>69</v>
      </c>
      <c r="AE44" s="6">
        <v>0.29699999999999999</v>
      </c>
      <c r="AF44" s="6">
        <v>1.782</v>
      </c>
      <c r="AG44" s="6">
        <v>0.77800000000000002</v>
      </c>
      <c r="AH44" s="6">
        <v>1099.5999999999999</v>
      </c>
      <c r="AI44" s="6">
        <v>208.47399999999999</v>
      </c>
      <c r="AJ44" s="6">
        <v>7.2880000000000003</v>
      </c>
      <c r="AK44" s="6">
        <v>46.304000000000002</v>
      </c>
      <c r="AL44" s="6">
        <v>22.161999999999999</v>
      </c>
    </row>
    <row r="45" spans="1:38" ht="15.75" x14ac:dyDescent="0.25">
      <c r="A45" s="13">
        <v>36161</v>
      </c>
      <c r="B45" s="6">
        <v>688.87524488999998</v>
      </c>
      <c r="C45" s="6">
        <v>32.222165169999997</v>
      </c>
      <c r="D45" s="6">
        <v>1388.96235802</v>
      </c>
      <c r="E45" s="6">
        <v>475.17706946999999</v>
      </c>
      <c r="F45" s="6" t="s">
        <v>69</v>
      </c>
      <c r="G45" s="6" t="s">
        <v>69</v>
      </c>
      <c r="H45" s="6" t="s">
        <v>69</v>
      </c>
      <c r="I45" s="6" t="s">
        <v>69</v>
      </c>
      <c r="J45" s="6">
        <v>134.28100000000001</v>
      </c>
      <c r="K45" s="6">
        <v>22.564</v>
      </c>
      <c r="L45" s="6">
        <v>12.526999999999999</v>
      </c>
      <c r="M45" s="6">
        <v>15.124000000000001</v>
      </c>
      <c r="N45" s="6">
        <v>14.584</v>
      </c>
      <c r="O45" s="6">
        <v>203.73347430000001</v>
      </c>
      <c r="P45" s="6">
        <v>30.786999999999999</v>
      </c>
      <c r="Q45" s="6">
        <f>-8/1000</f>
        <v>-8.0000000000000002E-3</v>
      </c>
      <c r="R45" s="6">
        <v>153.54764764000001</v>
      </c>
      <c r="S45" s="6">
        <v>63.294507930000002</v>
      </c>
      <c r="T45" s="6" t="s">
        <v>69</v>
      </c>
      <c r="U45" s="6" t="s">
        <v>69</v>
      </c>
      <c r="V45" s="6" t="s">
        <v>69</v>
      </c>
      <c r="W45" s="6">
        <v>8.3731950899999994</v>
      </c>
      <c r="X45" s="6">
        <v>33.246000000000002</v>
      </c>
      <c r="Y45" s="6" t="s">
        <v>69</v>
      </c>
      <c r="Z45" s="6">
        <v>37.317</v>
      </c>
      <c r="AA45" s="6">
        <v>6.7394679999999998E-2</v>
      </c>
      <c r="AB45" s="6">
        <v>185.26400000000001</v>
      </c>
      <c r="AC45" s="6">
        <v>4.4279999999999999</v>
      </c>
      <c r="AD45" s="6" t="s">
        <v>69</v>
      </c>
      <c r="AE45" s="6">
        <v>0.378</v>
      </c>
      <c r="AF45" s="6">
        <v>1.7150000000000001</v>
      </c>
      <c r="AG45" s="6">
        <v>2.74</v>
      </c>
      <c r="AH45" s="6">
        <v>1619.3</v>
      </c>
      <c r="AI45" s="6">
        <v>316.036</v>
      </c>
      <c r="AJ45" s="6">
        <v>6.5119999999999996</v>
      </c>
      <c r="AK45" s="6">
        <v>60.933</v>
      </c>
      <c r="AL45" s="6">
        <v>22.983000000000001</v>
      </c>
    </row>
    <row r="46" spans="1:38" ht="15.75" x14ac:dyDescent="0.25">
      <c r="A46" s="13">
        <v>36192</v>
      </c>
      <c r="B46" s="6">
        <v>621.74176616</v>
      </c>
      <c r="C46" s="6">
        <v>28.70763294</v>
      </c>
      <c r="D46" s="6">
        <v>1212.0155563799999</v>
      </c>
      <c r="E46" s="6">
        <v>438.32886350000001</v>
      </c>
      <c r="F46" s="6">
        <v>95.490163179999996</v>
      </c>
      <c r="G46" s="6" t="s">
        <v>69</v>
      </c>
      <c r="H46" s="6">
        <v>44.878</v>
      </c>
      <c r="I46" s="6" t="s">
        <v>69</v>
      </c>
      <c r="J46" s="6">
        <v>107.065</v>
      </c>
      <c r="K46" s="6">
        <v>21.370999999999999</v>
      </c>
      <c r="L46" s="6">
        <v>8.4570000000000007</v>
      </c>
      <c r="M46" s="6">
        <v>9.891</v>
      </c>
      <c r="N46" s="6">
        <v>15.179</v>
      </c>
      <c r="O46" s="6">
        <v>154.04021256999999</v>
      </c>
      <c r="P46" s="6">
        <v>30.31</v>
      </c>
      <c r="Q46" s="6">
        <v>0.17299999999999999</v>
      </c>
      <c r="R46" s="6">
        <v>208.52423831999999</v>
      </c>
      <c r="S46" s="6">
        <v>108.08562163000001</v>
      </c>
      <c r="T46" s="6" t="s">
        <v>69</v>
      </c>
      <c r="U46" s="6" t="s">
        <v>69</v>
      </c>
      <c r="V46" s="6" t="s">
        <v>69</v>
      </c>
      <c r="W46" s="6">
        <v>4.1429105599999998</v>
      </c>
      <c r="X46" s="6">
        <v>32.512999999999998</v>
      </c>
      <c r="Y46" s="6">
        <v>2.645</v>
      </c>
      <c r="Z46" s="6">
        <v>34.168999999999997</v>
      </c>
      <c r="AA46" s="6">
        <v>0.21361881999999999</v>
      </c>
      <c r="AB46" s="6">
        <v>159.548</v>
      </c>
      <c r="AC46" s="6">
        <v>5.8209999999999997</v>
      </c>
      <c r="AD46" s="6" t="s">
        <v>69</v>
      </c>
      <c r="AE46" s="6">
        <v>0.27200000000000002</v>
      </c>
      <c r="AF46" s="6">
        <v>1.3979999999999999</v>
      </c>
      <c r="AG46" s="6">
        <v>0.93500000000000005</v>
      </c>
      <c r="AH46" s="6">
        <v>1090.8</v>
      </c>
      <c r="AI46" s="6">
        <v>222.08699999999999</v>
      </c>
      <c r="AJ46" s="6">
        <v>7.0129999999999999</v>
      </c>
      <c r="AK46" s="6">
        <v>48.298999999999999</v>
      </c>
      <c r="AL46" s="6">
        <v>24.849</v>
      </c>
    </row>
    <row r="47" spans="1:38" ht="15.75" x14ac:dyDescent="0.25">
      <c r="A47" s="13">
        <v>36220</v>
      </c>
      <c r="B47" s="6">
        <v>613.91106216999992</v>
      </c>
      <c r="C47" s="6">
        <v>36.838138389999997</v>
      </c>
      <c r="D47" s="6">
        <v>1202.9316541000001</v>
      </c>
      <c r="E47" s="6">
        <v>558.92307116000006</v>
      </c>
      <c r="F47" s="6">
        <v>100.97462728000001</v>
      </c>
      <c r="G47" s="6" t="s">
        <v>69</v>
      </c>
      <c r="H47" s="6">
        <v>64.745999999999995</v>
      </c>
      <c r="I47" s="6" t="s">
        <v>69</v>
      </c>
      <c r="J47" s="6">
        <v>109.81399999999999</v>
      </c>
      <c r="K47" s="6">
        <v>23.654</v>
      </c>
      <c r="L47" s="6">
        <v>6.6980000000000004</v>
      </c>
      <c r="M47" s="6">
        <v>11.507999999999999</v>
      </c>
      <c r="N47" s="6">
        <v>19.948</v>
      </c>
      <c r="O47" s="6">
        <v>85.615100819999995</v>
      </c>
      <c r="P47" s="6">
        <v>44.531999999999996</v>
      </c>
      <c r="Q47" s="6" t="s">
        <v>69</v>
      </c>
      <c r="R47" s="6">
        <v>178.2431516</v>
      </c>
      <c r="S47" s="6">
        <v>78.816537729999993</v>
      </c>
      <c r="T47" s="6" t="s">
        <v>69</v>
      </c>
      <c r="U47" s="6" t="s">
        <v>69</v>
      </c>
      <c r="V47" s="6" t="s">
        <v>69</v>
      </c>
      <c r="W47" s="6">
        <v>5.4491122599999997</v>
      </c>
      <c r="X47" s="6">
        <v>35.578000000000003</v>
      </c>
      <c r="Y47" s="6">
        <v>9.8290000000000006</v>
      </c>
      <c r="Z47" s="6">
        <v>32.189</v>
      </c>
      <c r="AA47" s="6">
        <v>2.6378600400000001</v>
      </c>
      <c r="AB47" s="6">
        <v>198.29300000000001</v>
      </c>
      <c r="AC47" s="6">
        <v>4.8970000000000002</v>
      </c>
      <c r="AD47" s="6" t="s">
        <v>69</v>
      </c>
      <c r="AE47" s="6">
        <v>0.26400000000000001</v>
      </c>
      <c r="AF47" s="6">
        <v>1.94</v>
      </c>
      <c r="AG47" s="6">
        <v>0.15</v>
      </c>
      <c r="AH47" s="6">
        <v>1074.5999999999999</v>
      </c>
      <c r="AI47" s="6">
        <v>215.85599999999999</v>
      </c>
      <c r="AJ47" s="6">
        <v>6.9489999999999998</v>
      </c>
      <c r="AK47" s="6">
        <v>48.895000000000003</v>
      </c>
      <c r="AL47" s="6">
        <v>24.928999999999998</v>
      </c>
    </row>
    <row r="48" spans="1:38" ht="15.75" x14ac:dyDescent="0.25">
      <c r="A48" s="13">
        <v>36251</v>
      </c>
      <c r="B48" s="6">
        <v>650.90383091000001</v>
      </c>
      <c r="C48" s="6">
        <v>30.986143469999998</v>
      </c>
      <c r="D48" s="6">
        <v>1251.9255636</v>
      </c>
      <c r="E48" s="6">
        <v>528.85808047</v>
      </c>
      <c r="F48" s="6">
        <v>104.75293496</v>
      </c>
      <c r="G48" s="6" t="s">
        <v>69</v>
      </c>
      <c r="H48" s="6">
        <v>69.2</v>
      </c>
      <c r="I48" s="6" t="s">
        <v>69</v>
      </c>
      <c r="J48" s="6">
        <v>100.279</v>
      </c>
      <c r="K48" s="6">
        <v>25.959</v>
      </c>
      <c r="L48" s="6">
        <v>10.98</v>
      </c>
      <c r="M48" s="6">
        <v>12.706</v>
      </c>
      <c r="N48" s="6">
        <v>16.044</v>
      </c>
      <c r="O48" s="6">
        <v>257.90032797999999</v>
      </c>
      <c r="P48" s="6">
        <v>53.905000000000001</v>
      </c>
      <c r="Q48" s="6" t="s">
        <v>69</v>
      </c>
      <c r="R48" s="6">
        <v>170.98134275000001</v>
      </c>
      <c r="S48" s="6">
        <v>124.65286072000001</v>
      </c>
      <c r="T48" s="6" t="s">
        <v>69</v>
      </c>
      <c r="U48" s="6" t="s">
        <v>69</v>
      </c>
      <c r="V48" s="6" t="s">
        <v>69</v>
      </c>
      <c r="W48" s="6">
        <v>57.378754610000001</v>
      </c>
      <c r="X48" s="6">
        <v>32.122999999999998</v>
      </c>
      <c r="Y48" s="6">
        <v>11.503</v>
      </c>
      <c r="Z48" s="6">
        <v>27.911999999999999</v>
      </c>
      <c r="AA48" s="6">
        <v>2.9760081500000002</v>
      </c>
      <c r="AB48" s="6">
        <v>173.37100000000001</v>
      </c>
      <c r="AC48" s="6">
        <v>4.2060000000000004</v>
      </c>
      <c r="AD48" s="6" t="s">
        <v>69</v>
      </c>
      <c r="AE48" s="6">
        <v>0.26500000000000001</v>
      </c>
      <c r="AF48" s="6">
        <v>1.4750000000000001</v>
      </c>
      <c r="AG48" s="6">
        <v>1.8460000000000001</v>
      </c>
      <c r="AH48" s="6">
        <v>1022.6</v>
      </c>
      <c r="AI48" s="6">
        <v>210.52600000000001</v>
      </c>
      <c r="AJ48" s="6">
        <v>5.55</v>
      </c>
      <c r="AK48" s="6">
        <v>48.183999999999997</v>
      </c>
      <c r="AL48" s="6">
        <v>22.542000000000002</v>
      </c>
    </row>
    <row r="49" spans="1:39" ht="15.75" x14ac:dyDescent="0.25">
      <c r="A49" s="13">
        <v>36281</v>
      </c>
      <c r="B49" s="6">
        <v>1106.93645343</v>
      </c>
      <c r="C49" s="6">
        <v>31.51423509</v>
      </c>
      <c r="D49" s="6">
        <v>1198.13609797</v>
      </c>
      <c r="E49" s="6">
        <v>439.89705846999999</v>
      </c>
      <c r="F49" s="6">
        <v>82.268936940000003</v>
      </c>
      <c r="G49" s="6" t="s">
        <v>69</v>
      </c>
      <c r="H49" s="6">
        <v>60.976999999999997</v>
      </c>
      <c r="I49" s="6" t="s">
        <v>69</v>
      </c>
      <c r="J49" s="6">
        <v>105.313</v>
      </c>
      <c r="K49" s="6">
        <v>24.123999999999999</v>
      </c>
      <c r="L49" s="6">
        <v>8.36</v>
      </c>
      <c r="M49" s="6">
        <v>10.914</v>
      </c>
      <c r="N49" s="6">
        <v>16.335999999999999</v>
      </c>
      <c r="O49" s="6">
        <v>199.64944237</v>
      </c>
      <c r="P49" s="6">
        <v>49.052</v>
      </c>
      <c r="Q49" s="6">
        <v>5.8000000000000003E-2</v>
      </c>
      <c r="R49" s="6">
        <v>189.27952166</v>
      </c>
      <c r="S49" s="6">
        <v>138.00113934000001</v>
      </c>
      <c r="T49" s="6" t="s">
        <v>69</v>
      </c>
      <c r="U49" s="6" t="s">
        <v>69</v>
      </c>
      <c r="V49" s="6" t="s">
        <v>69</v>
      </c>
      <c r="W49" s="6">
        <v>58.440684920000002</v>
      </c>
      <c r="X49" s="6">
        <v>31.9</v>
      </c>
      <c r="Y49" s="6">
        <v>10.723000000000001</v>
      </c>
      <c r="Z49" s="6">
        <v>40.090000000000003</v>
      </c>
      <c r="AA49" s="6">
        <v>5.4923151299999997</v>
      </c>
      <c r="AB49" s="6">
        <v>162.5</v>
      </c>
      <c r="AC49" s="6">
        <v>3.996</v>
      </c>
      <c r="AD49" s="6" t="s">
        <v>69</v>
      </c>
      <c r="AE49" s="6">
        <v>0.308</v>
      </c>
      <c r="AF49" s="6">
        <v>2.7669999999999999</v>
      </c>
      <c r="AG49" s="6">
        <v>1.0469999999999999</v>
      </c>
      <c r="AH49" s="6">
        <v>1000</v>
      </c>
      <c r="AI49" s="6">
        <v>209.33799999999999</v>
      </c>
      <c r="AJ49" s="6">
        <v>5.0119999999999996</v>
      </c>
      <c r="AK49" s="6">
        <v>47.167999999999999</v>
      </c>
      <c r="AL49" s="6">
        <v>22.536000000000001</v>
      </c>
    </row>
    <row r="50" spans="1:39" ht="15.75" x14ac:dyDescent="0.25">
      <c r="A50" s="13">
        <v>36312</v>
      </c>
      <c r="B50" s="6">
        <v>766.09240047000003</v>
      </c>
      <c r="C50" s="6">
        <v>35.262562799999998</v>
      </c>
      <c r="D50" s="6">
        <v>1129.6421139700001</v>
      </c>
      <c r="E50" s="6">
        <v>530.45630097000003</v>
      </c>
      <c r="F50" s="6">
        <v>50.824376940000001</v>
      </c>
      <c r="G50" s="6" t="s">
        <v>69</v>
      </c>
      <c r="H50" s="6">
        <v>66.216999999999999</v>
      </c>
      <c r="I50" s="6" t="s">
        <v>69</v>
      </c>
      <c r="J50" s="6">
        <v>110.04</v>
      </c>
      <c r="K50" s="6">
        <v>23.113</v>
      </c>
      <c r="L50" s="6">
        <v>6.5720000000000001</v>
      </c>
      <c r="M50" s="6">
        <v>10.724</v>
      </c>
      <c r="N50" s="6">
        <v>15.289</v>
      </c>
      <c r="O50" s="6">
        <v>59.203116870000002</v>
      </c>
      <c r="P50" s="6">
        <v>48.204000000000001</v>
      </c>
      <c r="Q50" s="6">
        <v>0.26500000000000001</v>
      </c>
      <c r="R50" s="6">
        <v>168.50662316</v>
      </c>
      <c r="S50" s="6">
        <v>117.28596974</v>
      </c>
      <c r="T50" s="6" t="s">
        <v>69</v>
      </c>
      <c r="U50" s="6" t="s">
        <v>69</v>
      </c>
      <c r="V50" s="6" t="s">
        <v>69</v>
      </c>
      <c r="W50" s="6">
        <v>89.83598843</v>
      </c>
      <c r="X50" s="6">
        <v>30.036000000000001</v>
      </c>
      <c r="Y50" s="6">
        <v>250.56</v>
      </c>
      <c r="Z50" s="6">
        <v>30.891999999999999</v>
      </c>
      <c r="AA50" s="6">
        <v>5.2615034100000004</v>
      </c>
      <c r="AB50" s="6">
        <v>181.22900000000001</v>
      </c>
      <c r="AC50" s="6">
        <v>3.5169999999999999</v>
      </c>
      <c r="AD50" s="6" t="s">
        <v>69</v>
      </c>
      <c r="AE50" s="6">
        <v>0.33200000000000002</v>
      </c>
      <c r="AF50" s="6">
        <v>1.214</v>
      </c>
      <c r="AG50" s="6">
        <v>0.92800000000000005</v>
      </c>
      <c r="AH50" s="6">
        <v>994</v>
      </c>
      <c r="AI50" s="6">
        <v>207.48</v>
      </c>
      <c r="AJ50" s="6">
        <v>3.2469999999999999</v>
      </c>
      <c r="AK50" s="6">
        <v>46.982999999999997</v>
      </c>
      <c r="AL50" s="6">
        <v>21.376999999999999</v>
      </c>
    </row>
    <row r="51" spans="1:39" ht="15.75" x14ac:dyDescent="0.25">
      <c r="A51" s="13">
        <v>36342</v>
      </c>
      <c r="B51" s="6">
        <v>719.56331122999995</v>
      </c>
      <c r="C51" s="6">
        <v>34.292813610000003</v>
      </c>
      <c r="D51" s="6">
        <v>1167.48219137</v>
      </c>
      <c r="E51" s="6">
        <v>555.25120457000003</v>
      </c>
      <c r="F51" s="6">
        <v>49.985487470000002</v>
      </c>
      <c r="G51" s="6" t="s">
        <v>69</v>
      </c>
      <c r="H51" s="6">
        <v>58.850999999999999</v>
      </c>
      <c r="I51" s="6" t="s">
        <v>69</v>
      </c>
      <c r="J51" s="6">
        <v>101.492</v>
      </c>
      <c r="K51" s="6">
        <v>23.39</v>
      </c>
      <c r="L51" s="6">
        <v>12.412000000000001</v>
      </c>
      <c r="M51" s="6">
        <v>12.595000000000001</v>
      </c>
      <c r="N51" s="6">
        <v>17.010000000000002</v>
      </c>
      <c r="O51" s="6">
        <v>272.23248115000001</v>
      </c>
      <c r="P51" s="6">
        <v>41.045999999999999</v>
      </c>
      <c r="Q51" s="6">
        <v>0.219</v>
      </c>
      <c r="R51" s="6">
        <v>169.82151927999999</v>
      </c>
      <c r="S51" s="6">
        <v>124.39270974</v>
      </c>
      <c r="T51" s="6" t="s">
        <v>69</v>
      </c>
      <c r="U51" s="6" t="s">
        <v>69</v>
      </c>
      <c r="V51" s="6" t="s">
        <v>69</v>
      </c>
      <c r="W51" s="6">
        <v>18.087029340000001</v>
      </c>
      <c r="X51" s="6">
        <v>32.651000000000003</v>
      </c>
      <c r="Y51" s="6">
        <v>32.564</v>
      </c>
      <c r="Z51" s="6">
        <v>36.97</v>
      </c>
      <c r="AA51" s="6">
        <v>2.8436313900000001</v>
      </c>
      <c r="AB51" s="6">
        <v>198.60900000000001</v>
      </c>
      <c r="AC51" s="6">
        <v>3.73</v>
      </c>
      <c r="AD51" s="6" t="s">
        <v>69</v>
      </c>
      <c r="AE51" s="6">
        <v>0.41099999999999998</v>
      </c>
      <c r="AF51" s="6">
        <v>1.466</v>
      </c>
      <c r="AG51" s="6">
        <v>1.0999999999999999E-2</v>
      </c>
      <c r="AH51" s="6">
        <v>1444.1</v>
      </c>
      <c r="AI51" s="6">
        <v>297.49799999999999</v>
      </c>
      <c r="AJ51" s="6">
        <v>2.3879999999999999</v>
      </c>
      <c r="AK51" s="6">
        <v>58.423999999999999</v>
      </c>
      <c r="AL51" s="6">
        <v>23.344999999999999</v>
      </c>
    </row>
    <row r="52" spans="1:39" ht="15.75" x14ac:dyDescent="0.25">
      <c r="A52" s="13">
        <v>36373</v>
      </c>
      <c r="B52" s="6">
        <v>760.69662083000003</v>
      </c>
      <c r="C52" s="6">
        <v>34.504491119999997</v>
      </c>
      <c r="D52" s="6">
        <v>1160.6151447300001</v>
      </c>
      <c r="E52" s="6">
        <v>555.32134701000007</v>
      </c>
      <c r="F52" s="6">
        <v>52.554010030000001</v>
      </c>
      <c r="G52" s="6" t="s">
        <v>69</v>
      </c>
      <c r="H52" s="6">
        <v>69.295000000000002</v>
      </c>
      <c r="I52" s="6" t="s">
        <v>69</v>
      </c>
      <c r="J52" s="6">
        <v>112.727</v>
      </c>
      <c r="K52" s="6">
        <v>17.591999999999999</v>
      </c>
      <c r="L52" s="6">
        <v>13.664999999999999</v>
      </c>
      <c r="M52" s="6">
        <v>11.474</v>
      </c>
      <c r="N52" s="6">
        <v>15.596</v>
      </c>
      <c r="O52" s="6">
        <v>111.33766643999999</v>
      </c>
      <c r="P52" s="6">
        <v>50.951000000000001</v>
      </c>
      <c r="Q52" s="6">
        <f>4/1000</f>
        <v>4.0000000000000001E-3</v>
      </c>
      <c r="R52" s="6">
        <v>178.93264692</v>
      </c>
      <c r="S52" s="6">
        <v>114.17654671</v>
      </c>
      <c r="T52" s="6" t="s">
        <v>69</v>
      </c>
      <c r="U52" s="6" t="s">
        <v>69</v>
      </c>
      <c r="V52" s="6" t="s">
        <v>69</v>
      </c>
      <c r="W52" s="6">
        <v>88.539869749999994</v>
      </c>
      <c r="X52" s="6">
        <v>31.853999999999999</v>
      </c>
      <c r="Y52" s="6">
        <v>11.079000000000001</v>
      </c>
      <c r="Z52" s="6">
        <v>35.808999999999997</v>
      </c>
      <c r="AA52" s="6">
        <v>2.7161349800000001</v>
      </c>
      <c r="AB52" s="6">
        <v>190.20500000000001</v>
      </c>
      <c r="AC52" s="6">
        <v>3.91</v>
      </c>
      <c r="AD52" s="6" t="s">
        <v>69</v>
      </c>
      <c r="AE52" s="6">
        <v>0.31900000000000001</v>
      </c>
      <c r="AF52" s="6">
        <v>1.153</v>
      </c>
      <c r="AG52" s="6">
        <v>0.91</v>
      </c>
      <c r="AH52" s="6">
        <v>1007.8</v>
      </c>
      <c r="AI52" s="6">
        <v>208.84899999999999</v>
      </c>
      <c r="AJ52" s="6">
        <v>2.2589999999999999</v>
      </c>
      <c r="AK52" s="6">
        <v>49.725000000000001</v>
      </c>
      <c r="AL52" s="6">
        <v>22.808</v>
      </c>
    </row>
    <row r="53" spans="1:39" ht="15.75" x14ac:dyDescent="0.25">
      <c r="A53" s="13">
        <v>36404</v>
      </c>
      <c r="B53" s="6">
        <v>663.39016810999999</v>
      </c>
      <c r="C53" s="6">
        <v>37.727636109999999</v>
      </c>
      <c r="D53" s="6">
        <v>1177.2183819899999</v>
      </c>
      <c r="E53" s="6">
        <v>566.45198720000008</v>
      </c>
      <c r="F53" s="6">
        <v>50.905508449999999</v>
      </c>
      <c r="G53" s="6" t="s">
        <v>69</v>
      </c>
      <c r="H53" s="6">
        <v>64.344999999999999</v>
      </c>
      <c r="I53" s="6" t="s">
        <v>69</v>
      </c>
      <c r="J53" s="6">
        <v>110.29600000000001</v>
      </c>
      <c r="K53" s="6">
        <v>18.045000000000002</v>
      </c>
      <c r="L53" s="6">
        <v>4.782</v>
      </c>
      <c r="M53" s="6">
        <v>11.824999999999999</v>
      </c>
      <c r="N53" s="6">
        <v>12.955</v>
      </c>
      <c r="O53" s="6">
        <v>92.135160639999995</v>
      </c>
      <c r="P53" s="6">
        <v>48.13</v>
      </c>
      <c r="Q53" s="6">
        <v>0.85499999999999998</v>
      </c>
      <c r="R53" s="6">
        <v>179.50032415000001</v>
      </c>
      <c r="S53" s="6">
        <v>116.98357872</v>
      </c>
      <c r="T53" s="6" t="s">
        <v>69</v>
      </c>
      <c r="U53" s="6" t="s">
        <v>69</v>
      </c>
      <c r="V53" s="6" t="s">
        <v>69</v>
      </c>
      <c r="W53" s="6">
        <v>14.0448957</v>
      </c>
      <c r="X53" s="6">
        <v>32.265000000000001</v>
      </c>
      <c r="Y53" s="6">
        <v>12.53</v>
      </c>
      <c r="Z53" s="6">
        <v>40.241999999999997</v>
      </c>
      <c r="AA53" s="6">
        <v>2.3378180400000002</v>
      </c>
      <c r="AB53" s="6">
        <v>184.977</v>
      </c>
      <c r="AC53" s="6">
        <v>3.585</v>
      </c>
      <c r="AD53" s="6" t="s">
        <v>69</v>
      </c>
      <c r="AE53" s="6">
        <v>0.45</v>
      </c>
      <c r="AF53" s="6">
        <v>5.5170000000000003</v>
      </c>
      <c r="AG53" s="6">
        <v>3.67</v>
      </c>
      <c r="AH53" s="6">
        <v>992.9</v>
      </c>
      <c r="AI53" s="6">
        <v>207.08600000000001</v>
      </c>
      <c r="AJ53" s="6">
        <v>2.1890000000000001</v>
      </c>
      <c r="AK53" s="6">
        <v>49.23</v>
      </c>
      <c r="AL53" s="6">
        <v>23.244</v>
      </c>
    </row>
    <row r="54" spans="1:39" ht="15.75" x14ac:dyDescent="0.25">
      <c r="A54" s="13">
        <v>36434</v>
      </c>
      <c r="B54" s="6">
        <v>728.89964412999984</v>
      </c>
      <c r="C54" s="6">
        <v>35.872896570000002</v>
      </c>
      <c r="D54" s="6">
        <v>1179.22031049</v>
      </c>
      <c r="E54" s="6">
        <v>560.39005449000001</v>
      </c>
      <c r="F54" s="6">
        <v>52.032050900000002</v>
      </c>
      <c r="G54" s="6" t="s">
        <v>69</v>
      </c>
      <c r="H54" s="6">
        <v>60.843000000000004</v>
      </c>
      <c r="I54" s="6" t="s">
        <v>69</v>
      </c>
      <c r="J54" s="6">
        <v>104.67</v>
      </c>
      <c r="K54" s="6">
        <v>17.908999999999999</v>
      </c>
      <c r="L54" s="6">
        <v>5.79</v>
      </c>
      <c r="M54" s="6">
        <v>12.07</v>
      </c>
      <c r="N54" s="6">
        <v>20.791</v>
      </c>
      <c r="O54" s="6">
        <v>162.28660780000001</v>
      </c>
      <c r="P54" s="6">
        <v>69.144000000000005</v>
      </c>
      <c r="Q54" s="6">
        <v>1.4999999999999999E-2</v>
      </c>
      <c r="R54" s="6">
        <v>175.73637421999999</v>
      </c>
      <c r="S54" s="6">
        <v>115.52614314</v>
      </c>
      <c r="T54" s="6" t="s">
        <v>69</v>
      </c>
      <c r="U54" s="6" t="s">
        <v>69</v>
      </c>
      <c r="V54" s="6" t="s">
        <v>69</v>
      </c>
      <c r="W54" s="6">
        <v>96.809563929999996</v>
      </c>
      <c r="X54" s="6">
        <v>30.382999999999999</v>
      </c>
      <c r="Y54" s="6">
        <v>10.022</v>
      </c>
      <c r="Z54" s="6">
        <v>33.856000000000002</v>
      </c>
      <c r="AA54" s="6">
        <v>0.25645896000000001</v>
      </c>
      <c r="AB54" s="6">
        <v>185.45599999999999</v>
      </c>
      <c r="AC54" s="6">
        <v>4.1539999999999999</v>
      </c>
      <c r="AD54" s="6" t="s">
        <v>69</v>
      </c>
      <c r="AE54" s="6">
        <v>0.32600000000000001</v>
      </c>
      <c r="AF54" s="6">
        <v>2.4359999999999999</v>
      </c>
      <c r="AG54" s="6">
        <v>0.59099999999999997</v>
      </c>
      <c r="AH54" s="6">
        <v>907.6</v>
      </c>
      <c r="AI54" s="6">
        <v>202.62200000000001</v>
      </c>
      <c r="AJ54" s="6">
        <v>2.262</v>
      </c>
      <c r="AK54" s="6">
        <v>48.811999999999998</v>
      </c>
      <c r="AL54" s="6">
        <v>21.984999999999999</v>
      </c>
    </row>
    <row r="55" spans="1:39" ht="15.75" x14ac:dyDescent="0.25">
      <c r="A55" s="13">
        <v>36465</v>
      </c>
      <c r="B55" s="6">
        <v>805.96272991000001</v>
      </c>
      <c r="C55" s="6">
        <v>39.973754649999997</v>
      </c>
      <c r="D55" s="6">
        <v>1121.14963685</v>
      </c>
      <c r="E55" s="6">
        <v>587.22548970000003</v>
      </c>
      <c r="F55" s="6">
        <v>50.170705769999998</v>
      </c>
      <c r="G55" s="6" t="s">
        <v>69</v>
      </c>
      <c r="H55" s="6">
        <v>64.478999999999999</v>
      </c>
      <c r="I55" s="6" t="s">
        <v>69</v>
      </c>
      <c r="J55" s="6">
        <v>116.56100000000001</v>
      </c>
      <c r="K55" s="6">
        <v>19.597000000000001</v>
      </c>
      <c r="L55" s="6">
        <v>5.9219999999999997</v>
      </c>
      <c r="M55" s="6">
        <v>13.565</v>
      </c>
      <c r="N55" s="6">
        <v>17.071000000000002</v>
      </c>
      <c r="O55" s="6">
        <v>96.796550379999999</v>
      </c>
      <c r="P55" s="6">
        <v>52.56</v>
      </c>
      <c r="Q55" s="6">
        <v>1.2999999999999999E-2</v>
      </c>
      <c r="R55" s="6">
        <v>177.88181298999999</v>
      </c>
      <c r="S55" s="6">
        <v>117.06686829</v>
      </c>
      <c r="T55" s="6" t="s">
        <v>69</v>
      </c>
      <c r="U55" s="6" t="s">
        <v>69</v>
      </c>
      <c r="V55" s="6" t="s">
        <v>69</v>
      </c>
      <c r="W55" s="6">
        <v>12.891826229999999</v>
      </c>
      <c r="X55" s="6">
        <v>32.203000000000003</v>
      </c>
      <c r="Y55" s="6">
        <v>12.346</v>
      </c>
      <c r="Z55" s="6">
        <v>37.216999999999999</v>
      </c>
      <c r="AA55" s="6">
        <v>0.13662688000000001</v>
      </c>
      <c r="AB55" s="6">
        <v>209.33</v>
      </c>
      <c r="AC55" s="6">
        <v>4.3620000000000001</v>
      </c>
      <c r="AD55" s="6" t="s">
        <v>69</v>
      </c>
      <c r="AE55" s="6">
        <v>0.18</v>
      </c>
      <c r="AF55" s="6">
        <v>1.8680000000000001</v>
      </c>
      <c r="AG55" s="6">
        <v>0.65800000000000003</v>
      </c>
      <c r="AH55" s="6">
        <v>1010.5</v>
      </c>
      <c r="AI55" s="6">
        <v>212.874</v>
      </c>
      <c r="AJ55" s="6">
        <v>1.8680000000000001</v>
      </c>
      <c r="AK55" s="6">
        <v>50.932000000000002</v>
      </c>
      <c r="AL55" s="6">
        <v>23.37</v>
      </c>
      <c r="AM55" s="21"/>
    </row>
    <row r="56" spans="1:39" ht="15.75" x14ac:dyDescent="0.25">
      <c r="A56" s="13">
        <v>36495</v>
      </c>
      <c r="B56" s="6">
        <v>696.91663576999997</v>
      </c>
      <c r="C56" s="6">
        <v>38.175322139999999</v>
      </c>
      <c r="D56" s="6">
        <v>1184.47929469</v>
      </c>
      <c r="E56" s="6">
        <v>568.82367633000001</v>
      </c>
      <c r="F56" s="6">
        <v>49.758893679999993</v>
      </c>
      <c r="G56" s="6" t="s">
        <v>69</v>
      </c>
      <c r="H56" s="6">
        <v>70.962000000000003</v>
      </c>
      <c r="I56" s="6" t="s">
        <v>69</v>
      </c>
      <c r="J56" s="6">
        <v>115.48099999999999</v>
      </c>
      <c r="K56" s="6">
        <v>18.001000000000001</v>
      </c>
      <c r="L56" s="6">
        <v>1.5880000000000001</v>
      </c>
      <c r="M56" s="6">
        <v>14.69</v>
      </c>
      <c r="N56" s="6">
        <v>17.935834035000102</v>
      </c>
      <c r="O56" s="6">
        <v>272.91618399999999</v>
      </c>
      <c r="P56" s="6">
        <v>53.87</v>
      </c>
      <c r="Q56" s="6">
        <v>2.3E-2</v>
      </c>
      <c r="R56" s="6">
        <v>225.55483599999999</v>
      </c>
      <c r="S56" s="6">
        <v>193.08228609</v>
      </c>
      <c r="T56" s="6" t="s">
        <v>69</v>
      </c>
      <c r="U56" s="6" t="s">
        <v>69</v>
      </c>
      <c r="V56" s="6" t="s">
        <v>69</v>
      </c>
      <c r="W56" s="6">
        <v>91.538664449999999</v>
      </c>
      <c r="X56" s="6">
        <v>30.657</v>
      </c>
      <c r="Y56" s="6">
        <v>9.4250000000000007</v>
      </c>
      <c r="Z56" s="6">
        <v>32.710999999999999</v>
      </c>
      <c r="AA56" s="6">
        <v>0.13959566000000001</v>
      </c>
      <c r="AB56" s="6">
        <v>198.375</v>
      </c>
      <c r="AC56" s="6">
        <v>3.9820000000000002</v>
      </c>
      <c r="AD56" s="6" t="s">
        <v>69</v>
      </c>
      <c r="AE56" s="6">
        <v>0.41199999999999998</v>
      </c>
      <c r="AF56" s="6">
        <v>2.1379999999999999</v>
      </c>
      <c r="AG56" s="6">
        <v>0.53</v>
      </c>
      <c r="AH56" s="6">
        <v>970.3</v>
      </c>
      <c r="AI56" s="6">
        <v>212.76900000000001</v>
      </c>
      <c r="AJ56" s="6">
        <v>1.177</v>
      </c>
      <c r="AK56" s="6">
        <v>49.259</v>
      </c>
      <c r="AL56" s="6">
        <v>22.291</v>
      </c>
    </row>
    <row r="57" spans="1:39" ht="15.75" x14ac:dyDescent="0.25">
      <c r="A57" s="13">
        <v>36526</v>
      </c>
      <c r="B57" s="6">
        <v>708.55099580000001</v>
      </c>
      <c r="C57" s="6">
        <v>31.0322745</v>
      </c>
      <c r="D57" s="6">
        <v>1302.64713039</v>
      </c>
      <c r="E57" s="6">
        <v>452.91553941000001</v>
      </c>
      <c r="F57" s="6">
        <v>48.328661369999999</v>
      </c>
      <c r="G57" s="6" t="s">
        <v>69</v>
      </c>
      <c r="H57" s="6">
        <v>61.670999999999999</v>
      </c>
      <c r="I57" s="6" t="s">
        <v>69</v>
      </c>
      <c r="J57" s="6">
        <v>163.50399999999999</v>
      </c>
      <c r="K57" s="6">
        <v>20.216999999999999</v>
      </c>
      <c r="L57" s="6">
        <v>0.48599999999999999</v>
      </c>
      <c r="M57" s="6">
        <v>15.568</v>
      </c>
      <c r="N57" s="6">
        <v>31.047000000000001</v>
      </c>
      <c r="O57" s="6">
        <v>104.93442991000001</v>
      </c>
      <c r="P57" s="6">
        <v>34.375999999999998</v>
      </c>
      <c r="Q57" s="6">
        <v>0</v>
      </c>
      <c r="R57" s="6">
        <v>161.08620055</v>
      </c>
      <c r="S57" s="6">
        <v>57.943985990000002</v>
      </c>
      <c r="T57" s="6" t="s">
        <v>69</v>
      </c>
      <c r="U57" s="6" t="s">
        <v>69</v>
      </c>
      <c r="V57" s="6" t="s">
        <v>69</v>
      </c>
      <c r="W57" s="6">
        <v>9.8937066799999993</v>
      </c>
      <c r="X57" s="6">
        <v>31.686</v>
      </c>
      <c r="Y57" s="6">
        <v>7.8520000000000003</v>
      </c>
      <c r="Z57" s="6">
        <v>39.718000000000004</v>
      </c>
      <c r="AA57" s="6">
        <v>0.58412629999999999</v>
      </c>
      <c r="AB57" s="6">
        <v>164.048</v>
      </c>
      <c r="AC57" s="6">
        <v>3.2679999999999998</v>
      </c>
      <c r="AD57" s="6" t="s">
        <v>69</v>
      </c>
      <c r="AE57" s="6">
        <v>0.32300000000000001</v>
      </c>
      <c r="AF57" s="6">
        <v>2.8809999999999998</v>
      </c>
      <c r="AG57" s="6">
        <v>4.1029999999999998</v>
      </c>
      <c r="AH57" s="6">
        <v>1404.7</v>
      </c>
      <c r="AI57" s="6">
        <v>313.529</v>
      </c>
      <c r="AJ57" s="6">
        <v>0</v>
      </c>
      <c r="AK57" s="6">
        <v>61.552</v>
      </c>
      <c r="AL57" s="6">
        <v>23.077000000000002</v>
      </c>
    </row>
    <row r="58" spans="1:39" ht="15.75" x14ac:dyDescent="0.25">
      <c r="A58" s="13">
        <v>36557</v>
      </c>
      <c r="B58" s="6">
        <v>675.29578291000007</v>
      </c>
      <c r="C58" s="6">
        <v>31.453676489999999</v>
      </c>
      <c r="D58" s="6">
        <v>1101.57739173</v>
      </c>
      <c r="E58" s="6">
        <v>448.90276978000003</v>
      </c>
      <c r="F58" s="6">
        <v>50.46043126</v>
      </c>
      <c r="G58" s="6" t="s">
        <v>69</v>
      </c>
      <c r="H58" s="6">
        <v>69.488</v>
      </c>
      <c r="I58" s="6" t="s">
        <v>69</v>
      </c>
      <c r="J58" s="6">
        <v>62.445</v>
      </c>
      <c r="K58" s="6">
        <v>16.082000000000001</v>
      </c>
      <c r="L58" s="6">
        <v>1.5209999999999999</v>
      </c>
      <c r="M58" s="6">
        <v>27.59</v>
      </c>
      <c r="N58" s="6">
        <v>49.27</v>
      </c>
      <c r="O58" s="6">
        <v>171.57478695000003</v>
      </c>
      <c r="P58" s="6">
        <v>42.38</v>
      </c>
      <c r="Q58" s="6">
        <v>10</v>
      </c>
      <c r="R58" s="6">
        <v>198.91721422999998</v>
      </c>
      <c r="S58" s="6">
        <v>108.13994775</v>
      </c>
      <c r="T58" s="6" t="s">
        <v>69</v>
      </c>
      <c r="U58" s="7" t="s">
        <v>69</v>
      </c>
      <c r="V58" s="7" t="s">
        <v>69</v>
      </c>
      <c r="W58" s="6">
        <v>88.591603770000006</v>
      </c>
      <c r="X58" s="6">
        <v>30.204999999999998</v>
      </c>
      <c r="Y58" s="6">
        <v>35.503999999999998</v>
      </c>
      <c r="Z58" s="6">
        <v>34.302999999999997</v>
      </c>
      <c r="AA58" s="6">
        <v>0.17551207999999999</v>
      </c>
      <c r="AB58" s="6">
        <v>153.88800000000001</v>
      </c>
      <c r="AC58" s="6">
        <v>3.0179999999999998</v>
      </c>
      <c r="AD58" s="6" t="s">
        <v>69</v>
      </c>
      <c r="AE58" s="6">
        <v>0.219</v>
      </c>
      <c r="AF58" s="6">
        <v>1.208</v>
      </c>
      <c r="AG58" s="6">
        <v>0.53900000000000003</v>
      </c>
      <c r="AH58" s="6">
        <v>1024.3</v>
      </c>
      <c r="AI58" s="6">
        <v>231.33500000000001</v>
      </c>
      <c r="AJ58" s="6">
        <v>0</v>
      </c>
      <c r="AK58" s="6">
        <v>51.435000000000002</v>
      </c>
      <c r="AL58" s="6">
        <v>22.004000000000001</v>
      </c>
    </row>
    <row r="59" spans="1:39" ht="15.75" x14ac:dyDescent="0.25">
      <c r="A59" s="13">
        <v>36586</v>
      </c>
      <c r="B59" s="6">
        <v>659.29138224999997</v>
      </c>
      <c r="C59" s="6">
        <v>36.277277529999999</v>
      </c>
      <c r="D59" s="6">
        <v>1201.8558779099999</v>
      </c>
      <c r="E59" s="6">
        <v>511.85893209000005</v>
      </c>
      <c r="F59" s="6">
        <v>46.924793680000001</v>
      </c>
      <c r="G59" s="6" t="s">
        <v>69</v>
      </c>
      <c r="H59" s="6">
        <v>90.254999999999995</v>
      </c>
      <c r="I59" s="6" t="s">
        <v>69</v>
      </c>
      <c r="J59" s="6">
        <v>87.024000000000001</v>
      </c>
      <c r="K59" s="6">
        <v>19.347999999999999</v>
      </c>
      <c r="L59" s="6">
        <v>1.7749999999999999</v>
      </c>
      <c r="M59" s="6">
        <v>32.170999999999999</v>
      </c>
      <c r="N59" s="6">
        <v>40.198</v>
      </c>
      <c r="O59" s="6">
        <v>98.373347539999997</v>
      </c>
      <c r="P59" s="6">
        <v>65.177999999999997</v>
      </c>
      <c r="Q59" s="6">
        <v>85.3</v>
      </c>
      <c r="R59" s="6">
        <v>181.19423008000001</v>
      </c>
      <c r="S59" s="6">
        <v>78.50298823</v>
      </c>
      <c r="T59" s="6" t="s">
        <v>69</v>
      </c>
      <c r="U59" s="6" t="s">
        <v>69</v>
      </c>
      <c r="V59" s="6" t="s">
        <v>69</v>
      </c>
      <c r="W59" s="6">
        <v>10.61355041</v>
      </c>
      <c r="X59" s="6">
        <v>33.357999999999997</v>
      </c>
      <c r="Y59" s="6">
        <v>6.0510000000000002</v>
      </c>
      <c r="Z59" s="6">
        <v>44.216999999999999</v>
      </c>
      <c r="AA59" s="6">
        <v>1.3102489399999999</v>
      </c>
      <c r="AB59" s="6">
        <v>173.71299999999999</v>
      </c>
      <c r="AC59" s="6">
        <v>3.4860000000000002</v>
      </c>
      <c r="AD59" s="6" t="s">
        <v>69</v>
      </c>
      <c r="AE59" s="6">
        <v>0.23200000000000001</v>
      </c>
      <c r="AF59" s="6">
        <v>1.2729999999999999</v>
      </c>
      <c r="AG59" s="6">
        <v>0.224</v>
      </c>
      <c r="AH59" s="6">
        <v>1008.8</v>
      </c>
      <c r="AI59" s="6">
        <v>228.49199999999999</v>
      </c>
      <c r="AJ59" s="6">
        <v>0</v>
      </c>
      <c r="AK59" s="6">
        <v>51.031999999999996</v>
      </c>
      <c r="AL59" s="6">
        <v>28.295999999999999</v>
      </c>
    </row>
    <row r="60" spans="1:39" ht="15.75" x14ac:dyDescent="0.25">
      <c r="A60" s="13">
        <v>36617</v>
      </c>
      <c r="B60" s="6">
        <v>743.36238960000003</v>
      </c>
      <c r="C60" s="6">
        <v>30.646821979999999</v>
      </c>
      <c r="D60" s="6">
        <v>1226.6804723600001</v>
      </c>
      <c r="E60" s="6">
        <v>453.66738561</v>
      </c>
      <c r="F60" s="6">
        <v>48.187196270000001</v>
      </c>
      <c r="G60" s="6" t="s">
        <v>69</v>
      </c>
      <c r="H60" s="6">
        <v>73.566000000000003</v>
      </c>
      <c r="I60" s="6">
        <v>27.513000000000002</v>
      </c>
      <c r="J60" s="6">
        <v>101.53100000000001</v>
      </c>
      <c r="K60" s="6">
        <v>18.856999999999999</v>
      </c>
      <c r="L60" s="6">
        <v>1.4370000000000001</v>
      </c>
      <c r="M60" s="6">
        <v>29.236000000000001</v>
      </c>
      <c r="N60" s="6">
        <v>50.832000000000001</v>
      </c>
      <c r="O60" s="6">
        <v>120.74500565</v>
      </c>
      <c r="P60" s="6">
        <v>43.302</v>
      </c>
      <c r="Q60" s="6">
        <v>0</v>
      </c>
      <c r="R60" s="6">
        <v>199.01151286000001</v>
      </c>
      <c r="S60" s="6">
        <v>114.94172248000001</v>
      </c>
      <c r="T60" s="6" t="s">
        <v>69</v>
      </c>
      <c r="U60" s="6" t="s">
        <v>69</v>
      </c>
      <c r="V60" s="6" t="s">
        <v>69</v>
      </c>
      <c r="W60" s="6">
        <v>78.958612689999995</v>
      </c>
      <c r="X60" s="6">
        <v>27.404</v>
      </c>
      <c r="Y60" s="6">
        <v>3.363</v>
      </c>
      <c r="Z60" s="6">
        <v>42.296999999999997</v>
      </c>
      <c r="AA60" s="6">
        <v>4.4042125399999996</v>
      </c>
      <c r="AB60" s="6">
        <v>145.65600000000001</v>
      </c>
      <c r="AC60" s="6">
        <v>2.9249999999999998</v>
      </c>
      <c r="AD60" s="6" t="s">
        <v>69</v>
      </c>
      <c r="AE60" s="6">
        <v>0.193</v>
      </c>
      <c r="AF60" s="6">
        <v>5.415</v>
      </c>
      <c r="AG60" s="6">
        <v>3.823</v>
      </c>
      <c r="AH60" s="6">
        <v>954.8</v>
      </c>
      <c r="AI60" s="6">
        <v>221.26400000000001</v>
      </c>
      <c r="AJ60" s="6">
        <v>0</v>
      </c>
      <c r="AK60" s="6">
        <v>48.972999999999999</v>
      </c>
      <c r="AL60" s="6">
        <v>25.012</v>
      </c>
    </row>
    <row r="61" spans="1:39" ht="15.75" x14ac:dyDescent="0.25">
      <c r="A61" s="13">
        <v>36647</v>
      </c>
      <c r="B61" s="6">
        <v>1153.2644851799989</v>
      </c>
      <c r="C61" s="6">
        <v>35.941328490000004</v>
      </c>
      <c r="D61" s="6">
        <v>1148</v>
      </c>
      <c r="E61" s="6">
        <v>517.49</v>
      </c>
      <c r="F61" s="6">
        <v>55.27855581</v>
      </c>
      <c r="G61" s="6" t="s">
        <v>69</v>
      </c>
      <c r="H61" s="6">
        <v>74.617000000000004</v>
      </c>
      <c r="I61" s="6">
        <v>28.555</v>
      </c>
      <c r="J61" s="6">
        <v>87.515000000000001</v>
      </c>
      <c r="K61" s="6">
        <v>17.747</v>
      </c>
      <c r="L61" s="6">
        <v>1.587</v>
      </c>
      <c r="M61" s="6">
        <v>23.85</v>
      </c>
      <c r="N61" s="6">
        <v>57.177</v>
      </c>
      <c r="O61" s="6">
        <v>117.72</v>
      </c>
      <c r="P61" s="6">
        <v>52.378</v>
      </c>
      <c r="Q61" s="6">
        <v>0</v>
      </c>
      <c r="R61" s="6">
        <v>162.26889066999999</v>
      </c>
      <c r="S61" s="6">
        <v>103.59138236</v>
      </c>
      <c r="T61" s="6" t="s">
        <v>69</v>
      </c>
      <c r="U61" s="6" t="s">
        <v>69</v>
      </c>
      <c r="V61" s="6" t="s">
        <v>69</v>
      </c>
      <c r="W61" s="6">
        <v>89.637525940000003</v>
      </c>
      <c r="X61" s="6">
        <v>30.593</v>
      </c>
      <c r="Y61" s="6">
        <v>3.512</v>
      </c>
      <c r="Z61" s="6">
        <v>30.361000000000001</v>
      </c>
      <c r="AA61" s="6">
        <v>11.96390373</v>
      </c>
      <c r="AB61" s="6">
        <v>167.27799999999999</v>
      </c>
      <c r="AC61" s="6">
        <v>3.302</v>
      </c>
      <c r="AD61" s="6" t="s">
        <v>69</v>
      </c>
      <c r="AE61" s="6">
        <v>0.185</v>
      </c>
      <c r="AF61" s="6">
        <v>1.0389999999999999</v>
      </c>
      <c r="AG61" s="6">
        <v>0.28499999999999998</v>
      </c>
      <c r="AH61" s="6">
        <v>1001.4</v>
      </c>
      <c r="AI61" s="6">
        <v>206.46799999999999</v>
      </c>
      <c r="AJ61" s="6">
        <v>34.799999999999997</v>
      </c>
      <c r="AK61" s="6">
        <v>50.076999999999998</v>
      </c>
      <c r="AL61" s="6">
        <v>28.934999999999999</v>
      </c>
    </row>
    <row r="62" spans="1:39" ht="15.75" x14ac:dyDescent="0.25">
      <c r="A62" s="13">
        <v>36678</v>
      </c>
      <c r="B62" s="6">
        <v>1326.6120570400001</v>
      </c>
      <c r="C62" s="6">
        <v>34.950165479999995</v>
      </c>
      <c r="D62" s="6">
        <v>1257.2</v>
      </c>
      <c r="E62" s="6">
        <v>514</v>
      </c>
      <c r="F62" s="6">
        <v>48.411299769999999</v>
      </c>
      <c r="G62" s="6" t="s">
        <v>69</v>
      </c>
      <c r="H62" s="6">
        <v>73.777000000000001</v>
      </c>
      <c r="I62" s="6">
        <v>22.207000000000001</v>
      </c>
      <c r="J62" s="6">
        <v>91.32</v>
      </c>
      <c r="K62" s="6">
        <v>19.202999999999999</v>
      </c>
      <c r="L62" s="6">
        <v>1.6459999999999999</v>
      </c>
      <c r="M62" s="6">
        <v>23.72</v>
      </c>
      <c r="N62" s="6">
        <v>47.572000000000003</v>
      </c>
      <c r="O62" s="6">
        <v>61.2</v>
      </c>
      <c r="P62" s="6">
        <v>50.183</v>
      </c>
      <c r="Q62" s="6">
        <v>182.2</v>
      </c>
      <c r="R62" s="6">
        <v>178.05847805000002</v>
      </c>
      <c r="S62" s="6">
        <v>120.51085275</v>
      </c>
      <c r="T62" s="6" t="s">
        <v>69</v>
      </c>
      <c r="U62" s="6" t="s">
        <v>69</v>
      </c>
      <c r="V62" s="6" t="s">
        <v>69</v>
      </c>
      <c r="W62" s="6">
        <v>181.43691498999999</v>
      </c>
      <c r="X62" s="6">
        <v>29.63</v>
      </c>
      <c r="Y62" s="6">
        <v>2.3660000000000001</v>
      </c>
      <c r="Z62" s="6">
        <v>37.444000000000003</v>
      </c>
      <c r="AA62" s="6">
        <v>5.5603076299999996</v>
      </c>
      <c r="AB62" s="6">
        <v>164.00899999999999</v>
      </c>
      <c r="AC62" s="6">
        <v>3.2010000000000001</v>
      </c>
      <c r="AD62" s="6" t="s">
        <v>69</v>
      </c>
      <c r="AE62" s="6">
        <v>0.29699999999999999</v>
      </c>
      <c r="AF62" s="6">
        <v>1.399</v>
      </c>
      <c r="AG62" s="6">
        <v>0.54900000000000004</v>
      </c>
      <c r="AH62" s="6">
        <v>1060.4000000000001</v>
      </c>
      <c r="AI62" s="6">
        <v>209.482</v>
      </c>
      <c r="AJ62" s="6">
        <f>25.993-1.245</f>
        <v>24.747999999999998</v>
      </c>
      <c r="AK62" s="6">
        <v>49.829000000000001</v>
      </c>
      <c r="AL62" s="6">
        <v>28.292000000000002</v>
      </c>
    </row>
    <row r="63" spans="1:39" ht="15.75" x14ac:dyDescent="0.25">
      <c r="A63" s="13">
        <v>36708</v>
      </c>
      <c r="B63" s="6">
        <v>768.13003450000008</v>
      </c>
      <c r="C63" s="6">
        <v>34.16476591</v>
      </c>
      <c r="D63" s="6">
        <v>1223.21895393</v>
      </c>
      <c r="E63" s="6">
        <v>528.92323680000004</v>
      </c>
      <c r="F63" s="6">
        <v>44.940106539999988</v>
      </c>
      <c r="G63" s="6" t="s">
        <v>69</v>
      </c>
      <c r="H63" s="6">
        <v>66.132000000000005</v>
      </c>
      <c r="I63" s="6">
        <v>20.347999999999999</v>
      </c>
      <c r="J63" s="6">
        <v>96.656000000000006</v>
      </c>
      <c r="K63" s="6">
        <v>19.988</v>
      </c>
      <c r="L63" s="6">
        <v>1.7669999999999999</v>
      </c>
      <c r="M63" s="6">
        <v>28.861999999999998</v>
      </c>
      <c r="N63" s="6">
        <v>41.448</v>
      </c>
      <c r="O63" s="6">
        <v>121.81836306999999</v>
      </c>
      <c r="P63" s="6">
        <v>45.412999999999997</v>
      </c>
      <c r="Q63" s="6">
        <v>3.5999999999999997E-2</v>
      </c>
      <c r="R63" s="6">
        <v>171.1529386</v>
      </c>
      <c r="S63" s="6">
        <v>117.70394214</v>
      </c>
      <c r="T63" s="6" t="s">
        <v>69</v>
      </c>
      <c r="U63" s="6" t="s">
        <v>69</v>
      </c>
      <c r="V63" s="6" t="s">
        <v>69</v>
      </c>
      <c r="W63" s="6">
        <v>42.796177059999998</v>
      </c>
      <c r="X63" s="6">
        <v>28.558</v>
      </c>
      <c r="Y63" s="6">
        <v>2.194</v>
      </c>
      <c r="Z63" s="6">
        <v>34.500999999999998</v>
      </c>
      <c r="AA63" s="6">
        <v>4.3200536400000003</v>
      </c>
      <c r="AB63" s="6">
        <v>161.40100000000001</v>
      </c>
      <c r="AC63" s="6">
        <v>3.05</v>
      </c>
      <c r="AD63" s="6" t="s">
        <v>69</v>
      </c>
      <c r="AE63" s="6">
        <v>0.378</v>
      </c>
      <c r="AF63" s="6">
        <v>1.994</v>
      </c>
      <c r="AG63" s="6">
        <v>0.46899999999999997</v>
      </c>
      <c r="AH63" s="6">
        <v>1466.4</v>
      </c>
      <c r="AI63" s="6">
        <v>291.71499999999997</v>
      </c>
      <c r="AJ63" s="6">
        <f>-42.162+1.71</f>
        <v>-40.451999999999998</v>
      </c>
      <c r="AK63" s="6">
        <v>59.985999999999997</v>
      </c>
      <c r="AL63" s="6">
        <v>27.681000000000001</v>
      </c>
    </row>
    <row r="64" spans="1:39" ht="15.75" x14ac:dyDescent="0.25">
      <c r="A64" s="13">
        <v>36739</v>
      </c>
      <c r="B64" s="6">
        <v>863.07728797000004</v>
      </c>
      <c r="C64" s="6">
        <v>37.279391400000002</v>
      </c>
      <c r="D64" s="6">
        <v>1244.3</v>
      </c>
      <c r="E64" s="6">
        <v>553.79999999999995</v>
      </c>
      <c r="F64" s="6">
        <v>47.56057569</v>
      </c>
      <c r="G64" s="6" t="s">
        <v>69</v>
      </c>
      <c r="H64" s="6">
        <v>70.95</v>
      </c>
      <c r="I64" s="6">
        <v>18.966999999999999</v>
      </c>
      <c r="J64" s="6">
        <v>102.027</v>
      </c>
      <c r="K64" s="6">
        <v>13.435</v>
      </c>
      <c r="L64" s="6">
        <v>1.2769999999999999</v>
      </c>
      <c r="M64" s="6">
        <v>27</v>
      </c>
      <c r="N64" s="6">
        <v>39.396000000000001</v>
      </c>
      <c r="O64" s="6">
        <v>158.1</v>
      </c>
      <c r="P64" s="6">
        <v>52.966000000000001</v>
      </c>
      <c r="Q64" s="6">
        <v>0</v>
      </c>
      <c r="R64" s="6">
        <v>172.23299399999999</v>
      </c>
      <c r="S64" s="6">
        <v>125.66344869</v>
      </c>
      <c r="T64" s="6" t="s">
        <v>69</v>
      </c>
      <c r="U64" s="6" t="s">
        <v>69</v>
      </c>
      <c r="V64" s="6" t="s">
        <v>69</v>
      </c>
      <c r="W64" s="6">
        <v>168.92251246999999</v>
      </c>
      <c r="X64" s="6">
        <v>29.114000000000001</v>
      </c>
      <c r="Y64" s="6">
        <v>1.978</v>
      </c>
      <c r="Z64" s="6">
        <v>41.27</v>
      </c>
      <c r="AA64" s="6">
        <v>1.5947077000000001</v>
      </c>
      <c r="AB64" s="6">
        <v>169.36</v>
      </c>
      <c r="AC64" s="6">
        <v>3.4729999999999999</v>
      </c>
      <c r="AD64" s="6" t="s">
        <v>69</v>
      </c>
      <c r="AE64" s="6">
        <v>0.26800000000000002</v>
      </c>
      <c r="AF64" s="6">
        <v>7.0949999999999998</v>
      </c>
      <c r="AG64" s="6">
        <v>3.3</v>
      </c>
      <c r="AH64" s="6">
        <v>1023.9</v>
      </c>
      <c r="AI64" s="6">
        <v>215.05</v>
      </c>
      <c r="AJ64" s="6">
        <f>0.552-3.163</f>
        <v>-2.6109999999999998</v>
      </c>
      <c r="AK64" s="6">
        <v>49.335999999999999</v>
      </c>
      <c r="AL64" s="6">
        <v>28.614999999999998</v>
      </c>
    </row>
    <row r="65" spans="1:38" ht="15.75" x14ac:dyDescent="0.25">
      <c r="A65" s="13">
        <v>36770</v>
      </c>
      <c r="B65" s="6">
        <v>697.63461117999998</v>
      </c>
      <c r="C65" s="6">
        <v>34.337007450000002</v>
      </c>
      <c r="D65" s="6">
        <v>1229.9000000000001</v>
      </c>
      <c r="E65" s="6">
        <v>497.2</v>
      </c>
      <c r="F65" s="6">
        <v>45.7</v>
      </c>
      <c r="G65" s="6" t="s">
        <v>69</v>
      </c>
      <c r="H65" s="6">
        <f>72340/1000</f>
        <v>72.34</v>
      </c>
      <c r="I65" s="6">
        <v>18.001000000000001</v>
      </c>
      <c r="J65" s="6">
        <v>101.818</v>
      </c>
      <c r="K65" s="6">
        <v>13.542</v>
      </c>
      <c r="L65" s="6">
        <v>1.05</v>
      </c>
      <c r="M65" s="6">
        <v>22.716000000000001</v>
      </c>
      <c r="N65" s="6">
        <v>28.85</v>
      </c>
      <c r="O65" s="6">
        <v>60.2</v>
      </c>
      <c r="P65" s="6">
        <v>54.015999999999998</v>
      </c>
      <c r="Q65" s="6">
        <v>0</v>
      </c>
      <c r="R65" s="6">
        <v>198.70516500999997</v>
      </c>
      <c r="S65" s="6">
        <v>124.28566590000001</v>
      </c>
      <c r="T65" s="6" t="s">
        <v>69</v>
      </c>
      <c r="U65" s="6" t="s">
        <v>69</v>
      </c>
      <c r="V65" s="6" t="s">
        <v>69</v>
      </c>
      <c r="W65" s="6">
        <v>36.6</v>
      </c>
      <c r="X65" s="6">
        <v>27.571999999999999</v>
      </c>
      <c r="Y65" s="6">
        <v>1.7250000000000001</v>
      </c>
      <c r="Z65" s="6">
        <v>36.366999999999997</v>
      </c>
      <c r="AA65" s="6">
        <v>0.39302443999999997</v>
      </c>
      <c r="AB65" s="6">
        <v>163.03299999999999</v>
      </c>
      <c r="AC65" s="6">
        <v>2.9969999999999999</v>
      </c>
      <c r="AD65" s="6" t="s">
        <v>69</v>
      </c>
      <c r="AE65" s="6">
        <v>0.372</v>
      </c>
      <c r="AF65" s="6">
        <v>1.5309999999999999</v>
      </c>
      <c r="AG65" s="6">
        <v>0.99099999999999999</v>
      </c>
      <c r="AH65" s="6">
        <v>1009.9</v>
      </c>
      <c r="AI65" s="6">
        <v>201.501</v>
      </c>
      <c r="AJ65" s="6">
        <f>-1.68-1.201</f>
        <v>-2.8810000000000002</v>
      </c>
      <c r="AK65" s="6">
        <v>47.496000000000002</v>
      </c>
      <c r="AL65" s="6">
        <v>27.2</v>
      </c>
    </row>
    <row r="66" spans="1:38" ht="15.75" x14ac:dyDescent="0.25">
      <c r="A66" s="13">
        <v>36800</v>
      </c>
      <c r="B66" s="6">
        <v>824.00981075000004</v>
      </c>
      <c r="C66" s="6">
        <v>36.4950853</v>
      </c>
      <c r="D66" s="6">
        <v>1156.5999999999999</v>
      </c>
      <c r="E66" s="6">
        <v>544.9</v>
      </c>
      <c r="F66" s="6">
        <v>49.2</v>
      </c>
      <c r="G66" s="6" t="s">
        <v>69</v>
      </c>
      <c r="H66" s="6">
        <v>61.447000000000003</v>
      </c>
      <c r="I66" s="6">
        <v>9.5760000000000005</v>
      </c>
      <c r="J66" s="6">
        <v>125.395</v>
      </c>
      <c r="K66" s="6">
        <v>12.054</v>
      </c>
      <c r="L66" s="6">
        <v>1.056</v>
      </c>
      <c r="M66" s="6">
        <v>23.736999999999998</v>
      </c>
      <c r="N66" s="6">
        <v>56.198999999999998</v>
      </c>
      <c r="O66" s="6">
        <v>193.1</v>
      </c>
      <c r="P66" s="6">
        <v>49.451999999999998</v>
      </c>
      <c r="Q66" s="6">
        <v>0</v>
      </c>
      <c r="R66" s="6">
        <v>172.19112137999997</v>
      </c>
      <c r="S66" s="6">
        <v>105.76861823</v>
      </c>
      <c r="T66" s="6" t="s">
        <v>69</v>
      </c>
      <c r="U66" s="6" t="s">
        <v>69</v>
      </c>
      <c r="V66" s="6" t="s">
        <v>69</v>
      </c>
      <c r="W66" s="6">
        <v>159.9</v>
      </c>
      <c r="X66" s="6">
        <v>28.079000000000001</v>
      </c>
      <c r="Y66" s="6">
        <v>1.7290000000000001</v>
      </c>
      <c r="Z66" s="6">
        <v>43.332999999999998</v>
      </c>
      <c r="AA66" s="6">
        <v>0.44535403000000001</v>
      </c>
      <c r="AB66" s="6">
        <v>169.16900000000001</v>
      </c>
      <c r="AC66" s="6">
        <v>3.3769999999999998</v>
      </c>
      <c r="AD66" s="6" t="s">
        <v>69</v>
      </c>
      <c r="AE66" s="6">
        <v>0.25800000000000001</v>
      </c>
      <c r="AF66" s="6">
        <v>1.3939999999999999</v>
      </c>
      <c r="AG66" s="6">
        <v>0.79300000000000004</v>
      </c>
      <c r="AH66" s="6">
        <v>1015.1</v>
      </c>
      <c r="AI66" s="6">
        <v>203.12799999999999</v>
      </c>
      <c r="AJ66" s="6">
        <f>-7.995+2.261</f>
        <v>-5.734</v>
      </c>
      <c r="AK66" s="6">
        <v>48.826999999999998</v>
      </c>
      <c r="AL66" s="6">
        <v>27.591999999999999</v>
      </c>
    </row>
    <row r="67" spans="1:38" ht="15.75" x14ac:dyDescent="0.25">
      <c r="A67" s="13">
        <v>36831</v>
      </c>
      <c r="B67" s="6">
        <v>783.15821579999999</v>
      </c>
      <c r="C67" s="6">
        <v>34.428026259999996</v>
      </c>
      <c r="D67" s="6">
        <v>1110</v>
      </c>
      <c r="E67" s="6">
        <v>531.29999999999995</v>
      </c>
      <c r="F67" s="6">
        <v>51.195835879999997</v>
      </c>
      <c r="G67" s="6" t="s">
        <v>69</v>
      </c>
      <c r="H67" s="6">
        <v>79.265000000000001</v>
      </c>
      <c r="I67" s="6">
        <v>0.94199999999999995</v>
      </c>
      <c r="J67" s="6">
        <v>91.412000000000006</v>
      </c>
      <c r="K67" s="6">
        <v>12.215999999999999</v>
      </c>
      <c r="L67" s="6">
        <v>0.99199999999999999</v>
      </c>
      <c r="M67" s="6">
        <v>24.972999999999999</v>
      </c>
      <c r="N67" s="6">
        <v>18.664000000000001</v>
      </c>
      <c r="O67" s="6">
        <v>83.4</v>
      </c>
      <c r="P67" s="6">
        <v>48.273000000000003</v>
      </c>
      <c r="Q67" s="6">
        <v>0</v>
      </c>
      <c r="R67" s="6">
        <v>161.89207263</v>
      </c>
      <c r="S67" s="6">
        <v>89.76176584999989</v>
      </c>
      <c r="T67" s="6" t="s">
        <v>69</v>
      </c>
      <c r="U67" s="6" t="s">
        <v>69</v>
      </c>
      <c r="V67" s="6" t="s">
        <v>69</v>
      </c>
      <c r="W67" s="6">
        <v>12.39481149</v>
      </c>
      <c r="X67" s="6">
        <v>28.190999999999999</v>
      </c>
      <c r="Y67" s="6">
        <v>1.5589999999999999</v>
      </c>
      <c r="Z67" s="6">
        <v>34.337000000000003</v>
      </c>
      <c r="AA67" s="6">
        <v>0.20640227</v>
      </c>
      <c r="AB67" s="6">
        <v>166.70699999999999</v>
      </c>
      <c r="AC67" s="6">
        <v>3.3580000000000001</v>
      </c>
      <c r="AD67" s="6" t="s">
        <v>69</v>
      </c>
      <c r="AE67" s="6">
        <v>0.28000000000000003</v>
      </c>
      <c r="AF67" s="6">
        <v>1.5820000000000001</v>
      </c>
      <c r="AG67" s="6">
        <v>0.73699999999999999</v>
      </c>
      <c r="AH67" s="6">
        <v>945</v>
      </c>
      <c r="AI67" s="6">
        <v>199.72300000000001</v>
      </c>
      <c r="AJ67" s="6">
        <f>124.77+16.676</f>
        <v>141.446</v>
      </c>
      <c r="AK67" s="6">
        <v>48.972999999999999</v>
      </c>
      <c r="AL67" s="6">
        <v>29.495000000000001</v>
      </c>
    </row>
    <row r="68" spans="1:38" ht="15.75" x14ac:dyDescent="0.25">
      <c r="A68" s="13">
        <v>36861</v>
      </c>
      <c r="B68" s="6">
        <v>845.79511398</v>
      </c>
      <c r="C68" s="6">
        <v>29.956717279999999</v>
      </c>
      <c r="D68" s="6">
        <v>1221.3</v>
      </c>
      <c r="E68" s="6">
        <v>497</v>
      </c>
      <c r="F68" s="6">
        <v>63.967491780000003</v>
      </c>
      <c r="G68" s="6" t="s">
        <v>69</v>
      </c>
      <c r="H68" s="6">
        <v>61.606000000000002</v>
      </c>
      <c r="I68" s="6">
        <v>0.48299999999999998</v>
      </c>
      <c r="J68" s="6">
        <v>108.571</v>
      </c>
      <c r="K68" s="6">
        <v>11.417</v>
      </c>
      <c r="L68" s="6">
        <v>1.01</v>
      </c>
      <c r="M68" s="6">
        <v>29.797000000000001</v>
      </c>
      <c r="N68" s="6">
        <v>26.602</v>
      </c>
      <c r="O68" s="6">
        <v>175.6</v>
      </c>
      <c r="P68" s="6">
        <v>44.414000000000001</v>
      </c>
      <c r="Q68" s="6">
        <v>1.2999999999999999E-2</v>
      </c>
      <c r="R68" s="6">
        <v>196.91746465</v>
      </c>
      <c r="S68" s="6">
        <v>177.77194154999998</v>
      </c>
      <c r="T68" s="6" t="s">
        <v>69</v>
      </c>
      <c r="U68" s="6" t="s">
        <v>69</v>
      </c>
      <c r="V68" s="6" t="s">
        <v>69</v>
      </c>
      <c r="W68" s="6">
        <v>144.56633934999999</v>
      </c>
      <c r="X68" s="6">
        <v>29.163</v>
      </c>
      <c r="Y68" s="6">
        <v>1.4279999999999999</v>
      </c>
      <c r="Z68" s="6">
        <v>37.792999999999999</v>
      </c>
      <c r="AA68" s="6">
        <v>1.1145900399999999</v>
      </c>
      <c r="AB68" s="6">
        <v>139.577</v>
      </c>
      <c r="AC68" s="6">
        <v>2.9569999999999999</v>
      </c>
      <c r="AD68" s="6" t="s">
        <v>69</v>
      </c>
      <c r="AE68" s="6">
        <v>0.21299999999999999</v>
      </c>
      <c r="AF68" s="6">
        <v>2.6480000000000001</v>
      </c>
      <c r="AG68" s="6">
        <v>1.8109999999999999</v>
      </c>
      <c r="AH68" s="6">
        <v>1004.6</v>
      </c>
      <c r="AI68" s="6">
        <v>201.06200000000001</v>
      </c>
      <c r="AJ68" s="6">
        <f>-115.549-18.105</f>
        <v>-133.654</v>
      </c>
      <c r="AK68" s="6">
        <v>47.179000000000002</v>
      </c>
      <c r="AL68" s="6">
        <v>25.411000000000001</v>
      </c>
    </row>
    <row r="69" spans="1:38" ht="15.75" x14ac:dyDescent="0.25">
      <c r="A69" s="13">
        <v>36892</v>
      </c>
      <c r="B69" s="6">
        <v>776.03111450999995</v>
      </c>
      <c r="C69" s="6">
        <v>30.416837520000001</v>
      </c>
      <c r="D69" s="6">
        <v>1292.3894066299999</v>
      </c>
      <c r="E69" s="6">
        <v>460.87675271999996</v>
      </c>
      <c r="F69" s="6">
        <v>45.423033949999997</v>
      </c>
      <c r="G69" s="6" t="s">
        <v>69</v>
      </c>
      <c r="H69" s="6">
        <v>60.573999999999998</v>
      </c>
      <c r="I69" s="6">
        <v>0.36129</v>
      </c>
      <c r="J69" s="6">
        <v>130.65899999999999</v>
      </c>
      <c r="K69" s="6">
        <v>12.989000000000001</v>
      </c>
      <c r="L69" s="6">
        <v>1.7310000000000001</v>
      </c>
      <c r="M69" s="6">
        <v>36.295999999999999</v>
      </c>
      <c r="N69" s="6">
        <v>40.057000000000002</v>
      </c>
      <c r="O69" s="6">
        <v>122.63880741</v>
      </c>
      <c r="P69" s="6">
        <v>55.463999999999999</v>
      </c>
      <c r="Q69" s="6">
        <f>(-0.6/1000)</f>
        <v>-5.9999999999999995E-4</v>
      </c>
      <c r="R69" s="6">
        <v>135.34876618999999</v>
      </c>
      <c r="S69" s="6">
        <v>64.557358429999994</v>
      </c>
      <c r="T69" s="6" t="s">
        <v>69</v>
      </c>
      <c r="U69" s="6" t="s">
        <v>69</v>
      </c>
      <c r="V69" s="6" t="s">
        <v>69</v>
      </c>
      <c r="W69" s="6">
        <v>13.052383259999999</v>
      </c>
      <c r="X69" s="6">
        <v>30.824999999999999</v>
      </c>
      <c r="Y69" s="6">
        <v>1.607</v>
      </c>
      <c r="Z69" s="6">
        <v>40.194000000000003</v>
      </c>
      <c r="AA69" s="6">
        <v>0.12675742000000001</v>
      </c>
      <c r="AB69" s="6">
        <v>157.673</v>
      </c>
      <c r="AC69" s="6">
        <v>3.2320000000000002</v>
      </c>
      <c r="AD69" s="6" t="s">
        <v>69</v>
      </c>
      <c r="AE69" s="6">
        <v>0.19700000000000001</v>
      </c>
      <c r="AF69" s="6">
        <v>1.605</v>
      </c>
      <c r="AG69" s="6">
        <v>0.72499999999999998</v>
      </c>
      <c r="AH69" s="6">
        <v>1392.9</v>
      </c>
      <c r="AI69" s="6">
        <v>299.76</v>
      </c>
      <c r="AJ69" s="6">
        <f>89.139+17.879</f>
        <v>107.018</v>
      </c>
      <c r="AK69" s="6">
        <v>62.777000000000001</v>
      </c>
      <c r="AL69" s="6">
        <v>30.562000000000001</v>
      </c>
    </row>
    <row r="70" spans="1:38" ht="15.75" x14ac:dyDescent="0.25">
      <c r="A70" s="13">
        <v>36923</v>
      </c>
      <c r="B70" s="6">
        <v>732.63757999999996</v>
      </c>
      <c r="C70" s="6">
        <v>26.528818269999999</v>
      </c>
      <c r="D70" s="6">
        <v>1094.54466361</v>
      </c>
      <c r="E70" s="6">
        <v>397.45483202000003</v>
      </c>
      <c r="F70" s="6">
        <v>55.019765529999994</v>
      </c>
      <c r="G70" s="6" t="s">
        <v>69</v>
      </c>
      <c r="H70" s="6">
        <v>53.145000000000003</v>
      </c>
      <c r="I70" s="6">
        <v>0.36653999999999998</v>
      </c>
      <c r="J70" s="6">
        <v>156.80500000000001</v>
      </c>
      <c r="K70" s="6">
        <v>11.912000000000001</v>
      </c>
      <c r="L70" s="6">
        <v>0.48499999999999999</v>
      </c>
      <c r="M70" s="6">
        <v>24.738</v>
      </c>
      <c r="N70" s="6">
        <v>23.574000000000002</v>
      </c>
      <c r="O70" s="6">
        <v>143.74342883</v>
      </c>
      <c r="P70" s="6">
        <v>49.576000000000001</v>
      </c>
      <c r="Q70" s="6">
        <f>(-3.7/1000)</f>
        <v>-3.7000000000000002E-3</v>
      </c>
      <c r="R70" s="6">
        <v>179.89498316999999</v>
      </c>
      <c r="S70" s="6">
        <v>106.04298718000001</v>
      </c>
      <c r="T70" s="6" t="s">
        <v>69</v>
      </c>
      <c r="U70" s="6" t="s">
        <v>69</v>
      </c>
      <c r="V70" s="6" t="s">
        <v>69</v>
      </c>
      <c r="W70" s="6">
        <v>134.65262088</v>
      </c>
      <c r="X70" s="6">
        <v>25.806000000000001</v>
      </c>
      <c r="Y70" s="6">
        <v>2.6030000000000002</v>
      </c>
      <c r="Z70" s="6">
        <v>34.508000000000003</v>
      </c>
      <c r="AA70" s="6">
        <v>1.5577860000000001E-2</v>
      </c>
      <c r="AB70" s="6">
        <v>132.03700000000001</v>
      </c>
      <c r="AC70" s="6">
        <v>2.831</v>
      </c>
      <c r="AD70" s="6" t="s">
        <v>69</v>
      </c>
      <c r="AE70" s="6">
        <v>0.14099999999999999</v>
      </c>
      <c r="AF70" s="8">
        <v>1.532</v>
      </c>
      <c r="AG70" s="6">
        <v>0.55800000000000005</v>
      </c>
      <c r="AH70" s="6">
        <v>1018.4</v>
      </c>
      <c r="AI70" s="6">
        <v>202.72200000000001</v>
      </c>
      <c r="AJ70" s="6">
        <f>68.734+15.048</f>
        <v>83.781999999999996</v>
      </c>
      <c r="AK70" s="6">
        <v>50.543999999999997</v>
      </c>
      <c r="AL70" s="6">
        <v>25.605</v>
      </c>
    </row>
    <row r="71" spans="1:38" ht="15.75" x14ac:dyDescent="0.25">
      <c r="A71" s="13">
        <v>36951</v>
      </c>
      <c r="B71" s="6">
        <v>704.61305392000008</v>
      </c>
      <c r="C71" s="6">
        <v>30.377585100000001</v>
      </c>
      <c r="D71" s="6">
        <v>1127.7827769200001</v>
      </c>
      <c r="E71" s="6">
        <v>470.02229339999997</v>
      </c>
      <c r="F71" s="6">
        <v>52.677439900000003</v>
      </c>
      <c r="G71" s="6" t="s">
        <v>69</v>
      </c>
      <c r="H71" s="6">
        <v>42.457000000000001</v>
      </c>
      <c r="I71" s="6">
        <v>1.093</v>
      </c>
      <c r="J71" s="6">
        <v>88.872</v>
      </c>
      <c r="K71" s="6">
        <v>10.778</v>
      </c>
      <c r="L71" s="6">
        <v>1.3120000000000001</v>
      </c>
      <c r="M71" s="6">
        <v>28.614999999999998</v>
      </c>
      <c r="N71" s="6">
        <v>22.600999999999999</v>
      </c>
      <c r="O71" s="6">
        <v>174.24027328</v>
      </c>
      <c r="P71" s="6">
        <v>59.308</v>
      </c>
      <c r="Q71" s="6">
        <v>2E-3</v>
      </c>
      <c r="R71" s="6">
        <v>171.76895062000003</v>
      </c>
      <c r="S71" s="6">
        <v>96.746099770000001</v>
      </c>
      <c r="T71" s="6" t="s">
        <v>69</v>
      </c>
      <c r="U71" s="6" t="s">
        <v>69</v>
      </c>
      <c r="V71" s="6" t="s">
        <v>69</v>
      </c>
      <c r="W71" s="6">
        <v>21.03689323</v>
      </c>
      <c r="X71" s="6">
        <v>29.385999999999999</v>
      </c>
      <c r="Y71" s="6">
        <v>1.359</v>
      </c>
      <c r="Z71" s="6">
        <v>36.03</v>
      </c>
      <c r="AA71" s="6">
        <v>0.13580094000000001</v>
      </c>
      <c r="AB71" s="6">
        <v>154.38800000000001</v>
      </c>
      <c r="AC71" s="6">
        <v>3.6309999999999998</v>
      </c>
      <c r="AD71" s="6" t="s">
        <v>69</v>
      </c>
      <c r="AE71" s="6">
        <v>0.182</v>
      </c>
      <c r="AF71" s="6">
        <v>1.391</v>
      </c>
      <c r="AG71" s="6">
        <v>0.5</v>
      </c>
      <c r="AH71" s="6">
        <v>1016.1</v>
      </c>
      <c r="AI71" s="6">
        <v>179.02099999999999</v>
      </c>
      <c r="AJ71" s="6">
        <f>-163.525-29.657</f>
        <v>-193.18200000000002</v>
      </c>
      <c r="AK71" s="6">
        <v>62.609000000000002</v>
      </c>
      <c r="AL71" s="6">
        <v>28.896999999999998</v>
      </c>
    </row>
    <row r="72" spans="1:38" ht="15.75" x14ac:dyDescent="0.25">
      <c r="A72" s="13">
        <v>36982</v>
      </c>
      <c r="B72" s="6">
        <v>589.12484285000005</v>
      </c>
      <c r="C72" s="6">
        <v>28.705936980000001</v>
      </c>
      <c r="D72" s="6">
        <v>1073.1867191900001</v>
      </c>
      <c r="E72" s="6">
        <v>461.56937551999999</v>
      </c>
      <c r="F72" s="6">
        <v>47.280253660000007</v>
      </c>
      <c r="G72" s="6">
        <v>184.48426918000001</v>
      </c>
      <c r="H72" s="6">
        <v>37.996000000000002</v>
      </c>
      <c r="I72" s="6">
        <v>0.998</v>
      </c>
      <c r="J72" s="6">
        <v>92.902000000000001</v>
      </c>
      <c r="K72" s="6">
        <v>13.256</v>
      </c>
      <c r="L72" s="6">
        <v>3.5609999999999999</v>
      </c>
      <c r="M72" s="6">
        <v>28.815999999999999</v>
      </c>
      <c r="N72" s="6">
        <v>17.46</v>
      </c>
      <c r="O72" s="6">
        <v>121.27259029000001</v>
      </c>
      <c r="P72" s="6">
        <v>41.902000000000001</v>
      </c>
      <c r="Q72" s="6">
        <v>-3.0000000000000001E-3</v>
      </c>
      <c r="R72" s="6">
        <v>162.56913803</v>
      </c>
      <c r="S72" s="6">
        <v>97.726508079999988</v>
      </c>
      <c r="T72" s="6" t="s">
        <v>69</v>
      </c>
      <c r="U72" s="6" t="s">
        <v>69</v>
      </c>
      <c r="V72" s="6" t="s">
        <v>69</v>
      </c>
      <c r="W72" s="6">
        <v>51.27159082</v>
      </c>
      <c r="X72" s="6">
        <v>24.463999999999999</v>
      </c>
      <c r="Y72" s="6">
        <v>1.1000000000000001</v>
      </c>
      <c r="Z72" s="6">
        <v>31.138000000000002</v>
      </c>
      <c r="AA72" s="6">
        <v>4.6938062399999998</v>
      </c>
      <c r="AB72" s="6">
        <v>141.977</v>
      </c>
      <c r="AC72" s="6">
        <v>3.1040000000000001</v>
      </c>
      <c r="AD72" s="6" t="s">
        <v>69</v>
      </c>
      <c r="AE72" s="6">
        <v>7.3999999999999996E-2</v>
      </c>
      <c r="AF72" s="6">
        <v>1.556</v>
      </c>
      <c r="AG72" s="6">
        <v>0.78600000000000003</v>
      </c>
      <c r="AH72" s="6">
        <v>941.9</v>
      </c>
      <c r="AI72" s="6">
        <v>202.89699999999999</v>
      </c>
      <c r="AJ72" s="6">
        <f>-3.003-0.219</f>
        <v>-3.222</v>
      </c>
      <c r="AK72" s="6">
        <v>62.329000000000001</v>
      </c>
      <c r="AL72" s="6">
        <v>24.571000000000002</v>
      </c>
    </row>
    <row r="73" spans="1:38" ht="15.75" x14ac:dyDescent="0.25">
      <c r="A73" s="13">
        <v>37012</v>
      </c>
      <c r="B73" s="6">
        <v>1517.3839117800001</v>
      </c>
      <c r="C73" s="6">
        <v>31.461432070000001</v>
      </c>
      <c r="D73" s="6">
        <v>1097.99365661</v>
      </c>
      <c r="E73" s="6">
        <v>471.75575280999999</v>
      </c>
      <c r="F73" s="6">
        <v>65.167249560000002</v>
      </c>
      <c r="G73" s="6">
        <v>300.15927235999999</v>
      </c>
      <c r="H73" s="6">
        <v>48.366</v>
      </c>
      <c r="I73" s="6">
        <v>1.1379999999999999</v>
      </c>
      <c r="J73" s="6">
        <v>106.078</v>
      </c>
      <c r="K73" s="6">
        <v>11.847</v>
      </c>
      <c r="L73" s="6">
        <v>1.7669999999999999</v>
      </c>
      <c r="M73" s="6">
        <v>23.28</v>
      </c>
      <c r="N73" s="6">
        <v>15.013999999999999</v>
      </c>
      <c r="O73" s="6">
        <v>186.89816386000001</v>
      </c>
      <c r="P73" s="6">
        <v>53.085999999999999</v>
      </c>
      <c r="Q73" s="6">
        <v>-1E-3</v>
      </c>
      <c r="R73" s="6">
        <v>161.93124605000003</v>
      </c>
      <c r="S73" s="6">
        <v>132.49438878000001</v>
      </c>
      <c r="T73" s="6" t="s">
        <v>69</v>
      </c>
      <c r="U73" s="6" t="s">
        <v>69</v>
      </c>
      <c r="V73" s="6" t="s">
        <v>69</v>
      </c>
      <c r="W73" s="6">
        <v>60.37928076</v>
      </c>
      <c r="X73" s="6">
        <v>28.837</v>
      </c>
      <c r="Y73" s="6">
        <v>1.1000000000000001</v>
      </c>
      <c r="Z73" s="6">
        <v>31.98</v>
      </c>
      <c r="AA73" s="6">
        <v>6.9888925799999999</v>
      </c>
      <c r="AB73" s="6">
        <v>161.67400000000001</v>
      </c>
      <c r="AC73" s="6">
        <v>3.3639999999999999</v>
      </c>
      <c r="AD73" s="7" t="s">
        <v>69</v>
      </c>
      <c r="AE73" s="6">
        <v>0.10100000000000001</v>
      </c>
      <c r="AF73" s="6">
        <v>1.363</v>
      </c>
      <c r="AG73" s="6">
        <v>0.54900000000000004</v>
      </c>
      <c r="AH73" s="6">
        <v>974.7</v>
      </c>
      <c r="AI73" s="6">
        <v>197.81399999999999</v>
      </c>
      <c r="AJ73" s="6">
        <f>-0.289+0.352</f>
        <v>6.3E-2</v>
      </c>
      <c r="AK73" s="6">
        <v>66.849999999999994</v>
      </c>
      <c r="AL73" s="6">
        <v>29.064</v>
      </c>
    </row>
    <row r="74" spans="1:38" ht="15.75" x14ac:dyDescent="0.25">
      <c r="A74" s="13">
        <v>37043</v>
      </c>
      <c r="B74" s="6">
        <v>1285.5864216499999</v>
      </c>
      <c r="C74" s="6">
        <v>28.928472769999999</v>
      </c>
      <c r="D74" s="6">
        <v>1086.3352241900002</v>
      </c>
      <c r="E74" s="6">
        <v>419.39618453000003</v>
      </c>
      <c r="F74" s="6">
        <v>47.518167410000004</v>
      </c>
      <c r="G74" s="6">
        <v>274.8</v>
      </c>
      <c r="H74" s="6">
        <v>41.43</v>
      </c>
      <c r="I74" s="6">
        <v>0.70899999999999996</v>
      </c>
      <c r="J74" s="6">
        <v>246.23</v>
      </c>
      <c r="K74" s="6">
        <v>13.096</v>
      </c>
      <c r="L74" s="6">
        <v>0.754</v>
      </c>
      <c r="M74" s="6">
        <v>22.248999999999999</v>
      </c>
      <c r="N74" s="6">
        <v>13.12</v>
      </c>
      <c r="O74" s="6">
        <v>112.24070103</v>
      </c>
      <c r="P74" s="6">
        <v>46.384999999999998</v>
      </c>
      <c r="Q74" s="6">
        <v>2.5000000000000001E-2</v>
      </c>
      <c r="R74" s="6">
        <v>132.44736613000001</v>
      </c>
      <c r="S74" s="6">
        <v>117.52307570000002</v>
      </c>
      <c r="T74" s="6" t="s">
        <v>69</v>
      </c>
      <c r="U74" s="6" t="s">
        <v>69</v>
      </c>
      <c r="V74" s="6" t="s">
        <v>69</v>
      </c>
      <c r="W74" s="6">
        <v>116.5</v>
      </c>
      <c r="X74" s="6">
        <v>26.606999999999999</v>
      </c>
      <c r="Y74" s="6">
        <v>1.1259999999999999</v>
      </c>
      <c r="Z74" s="6">
        <v>34.814999999999998</v>
      </c>
      <c r="AA74" s="6">
        <v>8.5500208700000009</v>
      </c>
      <c r="AB74" s="6">
        <v>139.149</v>
      </c>
      <c r="AC74" s="6">
        <v>3.0139999999999998</v>
      </c>
      <c r="AD74" s="6" t="s">
        <v>69</v>
      </c>
      <c r="AE74" s="6">
        <v>0.129</v>
      </c>
      <c r="AF74" s="6">
        <v>1.2949999999999999</v>
      </c>
      <c r="AG74" s="6">
        <f>35.73+0.638</f>
        <v>36.367999999999995</v>
      </c>
      <c r="AH74" s="6">
        <v>915.4</v>
      </c>
      <c r="AI74" s="6">
        <v>225.91399999999999</v>
      </c>
      <c r="AJ74" s="6">
        <f>-6.929-9.464</f>
        <v>-16.393000000000001</v>
      </c>
      <c r="AK74" s="6">
        <v>65.188000000000002</v>
      </c>
      <c r="AL74" s="6">
        <v>26.832000000000001</v>
      </c>
    </row>
    <row r="75" spans="1:38" ht="15.75" x14ac:dyDescent="0.25">
      <c r="A75" s="13">
        <v>37073</v>
      </c>
      <c r="B75" s="6">
        <v>717.76052871999991</v>
      </c>
      <c r="C75" s="6">
        <v>29.59182792</v>
      </c>
      <c r="D75" s="6">
        <v>1027.6304301399998</v>
      </c>
      <c r="E75" s="6">
        <v>421.52145189999999</v>
      </c>
      <c r="F75" s="6">
        <v>41.203186029999998</v>
      </c>
      <c r="G75" s="6">
        <v>291.8</v>
      </c>
      <c r="H75" s="6">
        <v>36.478000000000002</v>
      </c>
      <c r="I75" s="6">
        <v>0.39900000000000002</v>
      </c>
      <c r="J75" s="6">
        <v>68.864000000000004</v>
      </c>
      <c r="K75" s="6">
        <v>10.611000000000001</v>
      </c>
      <c r="L75" s="6">
        <v>7.0000000000000007E-2</v>
      </c>
      <c r="M75" s="6">
        <v>19.922999999999998</v>
      </c>
      <c r="N75" s="6">
        <v>20.024999999999999</v>
      </c>
      <c r="O75" s="6">
        <v>184.39629676999999</v>
      </c>
      <c r="P75" s="6">
        <v>46.357999999999997</v>
      </c>
      <c r="Q75" s="6">
        <v>-1E-3</v>
      </c>
      <c r="R75" s="6">
        <v>138.21842763999999</v>
      </c>
      <c r="S75" s="6">
        <v>140.64620212999998</v>
      </c>
      <c r="T75" s="6" t="s">
        <v>69</v>
      </c>
      <c r="U75" s="6" t="s">
        <v>69</v>
      </c>
      <c r="V75" s="6" t="s">
        <v>69</v>
      </c>
      <c r="W75" s="6">
        <v>20.2</v>
      </c>
      <c r="X75" s="6">
        <v>25.934000000000001</v>
      </c>
      <c r="Y75" s="6">
        <v>1.08</v>
      </c>
      <c r="Z75" s="6">
        <v>30.588999999999999</v>
      </c>
      <c r="AA75" s="6">
        <v>8.8346928200000008</v>
      </c>
      <c r="AB75" s="6">
        <v>131.29599999999999</v>
      </c>
      <c r="AC75" s="6">
        <v>2.972</v>
      </c>
      <c r="AD75" s="6" t="s">
        <v>69</v>
      </c>
      <c r="AE75" s="6">
        <v>7.3999999999999996E-2</v>
      </c>
      <c r="AF75" s="6">
        <v>1.3129999999999999</v>
      </c>
      <c r="AG75" s="6">
        <f>73.422+0.483</f>
        <v>73.905000000000001</v>
      </c>
      <c r="AH75" s="6">
        <v>1306</v>
      </c>
      <c r="AI75" s="6">
        <v>275.08600000000001</v>
      </c>
      <c r="AJ75" s="6">
        <f>-1.123+0.036</f>
        <v>-1.087</v>
      </c>
      <c r="AK75" s="6">
        <v>76.558999999999997</v>
      </c>
      <c r="AL75" s="6">
        <v>26.181999999999999</v>
      </c>
    </row>
    <row r="76" spans="1:38" ht="15.75" x14ac:dyDescent="0.25">
      <c r="A76" s="13">
        <v>37104</v>
      </c>
      <c r="B76" s="6">
        <v>755.82917093000003</v>
      </c>
      <c r="C76" s="6">
        <v>29.168353010000001</v>
      </c>
      <c r="D76" s="6">
        <v>1037.8488520000001</v>
      </c>
      <c r="E76" s="6">
        <v>422.53068299000006</v>
      </c>
      <c r="F76" s="6">
        <v>44.355547260000002</v>
      </c>
      <c r="G76" s="6">
        <v>431.7</v>
      </c>
      <c r="H76" s="6">
        <v>33.746000000000002</v>
      </c>
      <c r="I76" s="6">
        <v>0.83699999999999997</v>
      </c>
      <c r="J76" s="6">
        <v>89.016999999999996</v>
      </c>
      <c r="K76" s="6">
        <v>6.9969999999999999</v>
      </c>
      <c r="L76" s="6">
        <f>(1/1000)</f>
        <v>1E-3</v>
      </c>
      <c r="M76" s="6">
        <v>22.445</v>
      </c>
      <c r="N76" s="6">
        <v>15.077</v>
      </c>
      <c r="O76" s="6">
        <v>103.74086090999999</v>
      </c>
      <c r="P76" s="6">
        <v>43.146999999999998</v>
      </c>
      <c r="Q76" s="6">
        <v>-1E-3</v>
      </c>
      <c r="R76" s="6">
        <v>151.18720162</v>
      </c>
      <c r="S76" s="6">
        <v>199.83674434999998</v>
      </c>
      <c r="T76" s="6" t="s">
        <v>69</v>
      </c>
      <c r="U76" s="6" t="s">
        <v>69</v>
      </c>
      <c r="V76" s="6" t="s">
        <v>69</v>
      </c>
      <c r="W76" s="6">
        <v>116</v>
      </c>
      <c r="X76" s="6">
        <v>25.253</v>
      </c>
      <c r="Y76" s="6">
        <v>1.109</v>
      </c>
      <c r="Z76" s="6">
        <v>30.22</v>
      </c>
      <c r="AA76" s="6">
        <v>12.005934399999999</v>
      </c>
      <c r="AB76" s="6">
        <v>127.699</v>
      </c>
      <c r="AC76" s="6">
        <v>2.98</v>
      </c>
      <c r="AD76" s="6" t="s">
        <v>69</v>
      </c>
      <c r="AE76" s="6">
        <v>0.108</v>
      </c>
      <c r="AF76" s="6">
        <v>2.0390000000000001</v>
      </c>
      <c r="AG76" s="6">
        <f>-14.444+1.12</f>
        <v>-13.324000000000002</v>
      </c>
      <c r="AH76" s="6">
        <v>973.4</v>
      </c>
      <c r="AI76" s="6">
        <v>177.149</v>
      </c>
      <c r="AJ76" s="6">
        <f>0.197+0.299</f>
        <v>0.496</v>
      </c>
      <c r="AK76" s="6">
        <v>63.369</v>
      </c>
      <c r="AL76" s="6">
        <v>25.7</v>
      </c>
    </row>
    <row r="77" spans="1:38" ht="15.75" x14ac:dyDescent="0.25">
      <c r="A77" s="13">
        <v>37135</v>
      </c>
      <c r="B77" s="6">
        <v>665.79364205000002</v>
      </c>
      <c r="C77" s="6">
        <v>24.288609619999999</v>
      </c>
      <c r="D77" s="6">
        <v>961.71525516999986</v>
      </c>
      <c r="E77" s="6">
        <v>329.91596917999999</v>
      </c>
      <c r="F77" s="6">
        <v>33.345870400000003</v>
      </c>
      <c r="G77" s="6">
        <v>377.1</v>
      </c>
      <c r="H77" s="6">
        <v>32.768000000000001</v>
      </c>
      <c r="I77" s="6">
        <v>0.44800000000000001</v>
      </c>
      <c r="J77" s="6">
        <v>92.370999999999995</v>
      </c>
      <c r="K77" s="6">
        <v>6.9340000000000002</v>
      </c>
      <c r="L77" s="6">
        <v>0</v>
      </c>
      <c r="M77" s="6">
        <v>22.885000000000002</v>
      </c>
      <c r="N77" s="6">
        <v>12.518000000000001</v>
      </c>
      <c r="O77" s="6">
        <v>148.72596743</v>
      </c>
      <c r="P77" s="6">
        <v>33.307000000000002</v>
      </c>
      <c r="Q77" s="6">
        <v>-1E-3</v>
      </c>
      <c r="R77" s="6">
        <v>155.07284972000002</v>
      </c>
      <c r="S77" s="6">
        <v>196.96407968999998</v>
      </c>
      <c r="T77" s="6" t="s">
        <v>69</v>
      </c>
      <c r="U77" s="6" t="s">
        <v>69</v>
      </c>
      <c r="V77" s="6" t="s">
        <v>69</v>
      </c>
      <c r="W77" s="6">
        <v>11</v>
      </c>
      <c r="X77" s="6">
        <v>23.189</v>
      </c>
      <c r="Y77" s="6">
        <v>0.86299999999999999</v>
      </c>
      <c r="Z77" s="6">
        <v>29.378</v>
      </c>
      <c r="AA77" s="6">
        <v>2.5309595800000002</v>
      </c>
      <c r="AB77" s="6">
        <v>107.185</v>
      </c>
      <c r="AC77" s="6">
        <v>2.4710000000000001</v>
      </c>
      <c r="AD77" s="6" t="s">
        <v>69</v>
      </c>
      <c r="AE77" s="6">
        <v>0.12</v>
      </c>
      <c r="AF77" s="6">
        <v>1.486</v>
      </c>
      <c r="AG77" s="6">
        <f>-52.356+0.541</f>
        <v>-51.815000000000005</v>
      </c>
      <c r="AH77" s="6">
        <v>935.3</v>
      </c>
      <c r="AI77" s="6">
        <v>184.672</v>
      </c>
      <c r="AJ77" s="6">
        <f>3.194+0.42</f>
        <v>3.6139999999999999</v>
      </c>
      <c r="AK77" s="6">
        <v>60.286000000000001</v>
      </c>
      <c r="AL77" s="6">
        <v>23.507000000000001</v>
      </c>
    </row>
    <row r="78" spans="1:38" ht="15.75" x14ac:dyDescent="0.25">
      <c r="A78" s="13">
        <v>37165</v>
      </c>
      <c r="B78" s="6">
        <v>703.03366082000002</v>
      </c>
      <c r="C78" s="6">
        <v>24.585779990000002</v>
      </c>
      <c r="D78" s="6">
        <v>916.27723687000002</v>
      </c>
      <c r="E78" s="6">
        <v>351.39213668000002</v>
      </c>
      <c r="F78" s="6">
        <v>35.811227280000004</v>
      </c>
      <c r="G78" s="6">
        <v>406.5</v>
      </c>
      <c r="H78" s="6">
        <v>24.878</v>
      </c>
      <c r="I78" s="6">
        <v>0.61199999999999999</v>
      </c>
      <c r="J78" s="6">
        <v>82.036000000000001</v>
      </c>
      <c r="K78" s="6">
        <v>6.1539999999999999</v>
      </c>
      <c r="L78" s="6">
        <v>0</v>
      </c>
      <c r="M78" s="6">
        <v>20.254999999999999</v>
      </c>
      <c r="N78" s="6">
        <v>19.146000000000001</v>
      </c>
      <c r="O78" s="6">
        <v>188.64321568000003</v>
      </c>
      <c r="P78" s="6">
        <v>36.889000000000003</v>
      </c>
      <c r="Q78" s="6">
        <v>0</v>
      </c>
      <c r="R78" s="6">
        <v>144.78301099999999</v>
      </c>
      <c r="S78" s="6">
        <v>142.87180877</v>
      </c>
      <c r="T78" s="6" t="s">
        <v>69</v>
      </c>
      <c r="U78" s="6" t="s">
        <v>69</v>
      </c>
      <c r="V78" s="6" t="s">
        <v>69</v>
      </c>
      <c r="W78" s="6">
        <v>118</v>
      </c>
      <c r="X78" s="6">
        <v>24.033000000000001</v>
      </c>
      <c r="Y78" s="6">
        <v>0.94</v>
      </c>
      <c r="Z78" s="6">
        <v>23.442</v>
      </c>
      <c r="AA78" s="6">
        <v>5.4491164799999998</v>
      </c>
      <c r="AB78" s="6">
        <v>118.63</v>
      </c>
      <c r="AC78" s="6">
        <v>2.8540000000000001</v>
      </c>
      <c r="AD78" s="6" t="s">
        <v>69</v>
      </c>
      <c r="AE78" s="6">
        <v>0.11600000000000001</v>
      </c>
      <c r="AF78" s="6">
        <v>1.198</v>
      </c>
      <c r="AG78" s="6">
        <f>-17.182+0.404</f>
        <v>-16.777999999999999</v>
      </c>
      <c r="AH78" s="6">
        <v>917.9</v>
      </c>
      <c r="AI78" s="6">
        <v>196.749</v>
      </c>
      <c r="AJ78" s="6">
        <f>-2.688-4.523</f>
        <v>-7.2110000000000003</v>
      </c>
      <c r="AK78" s="6">
        <v>60.329000000000001</v>
      </c>
      <c r="AL78" s="6">
        <v>24.318000000000001</v>
      </c>
    </row>
    <row r="79" spans="1:38" ht="15.75" x14ac:dyDescent="0.25">
      <c r="A79" s="13">
        <v>37196</v>
      </c>
      <c r="B79" s="6">
        <v>697.2</v>
      </c>
      <c r="C79" s="6">
        <v>21.4</v>
      </c>
      <c r="D79" s="6">
        <v>912.2</v>
      </c>
      <c r="E79" s="6">
        <v>317.89999999999998</v>
      </c>
      <c r="F79" s="6">
        <v>47.8</v>
      </c>
      <c r="G79" s="6">
        <v>368.63137317000002</v>
      </c>
      <c r="H79" s="6">
        <v>17.053000000000001</v>
      </c>
      <c r="I79" s="6">
        <v>0.75700000000000001</v>
      </c>
      <c r="J79" s="6">
        <v>92.747</v>
      </c>
      <c r="K79" s="6">
        <v>5.577</v>
      </c>
      <c r="L79" s="6">
        <v>0</v>
      </c>
      <c r="M79" s="6">
        <v>23.390999999999998</v>
      </c>
      <c r="N79" s="6">
        <v>16.114999999999998</v>
      </c>
      <c r="O79" s="6">
        <v>139.9</v>
      </c>
      <c r="P79" s="6">
        <v>41.213000000000001</v>
      </c>
      <c r="Q79" s="6">
        <v>0</v>
      </c>
      <c r="R79" s="6">
        <v>153.52838918999998</v>
      </c>
      <c r="S79" s="6">
        <v>175.50955450000004</v>
      </c>
      <c r="T79" s="6" t="s">
        <v>69</v>
      </c>
      <c r="U79" s="6" t="s">
        <v>69</v>
      </c>
      <c r="V79" s="6" t="s">
        <v>69</v>
      </c>
      <c r="W79" s="6">
        <v>14.34028277</v>
      </c>
      <c r="X79" s="6">
        <v>22.491</v>
      </c>
      <c r="Y79" s="6">
        <v>0.90800000000000003</v>
      </c>
      <c r="Z79" s="6">
        <v>35.970999999999997</v>
      </c>
      <c r="AA79" s="6">
        <v>1.0077397699999999</v>
      </c>
      <c r="AB79" s="6">
        <v>107.82</v>
      </c>
      <c r="AC79" s="6">
        <v>2.468</v>
      </c>
      <c r="AD79" s="6" t="s">
        <v>69</v>
      </c>
      <c r="AE79" s="6">
        <v>9.2999999999999999E-2</v>
      </c>
      <c r="AF79" s="6">
        <v>1.2310000000000001</v>
      </c>
      <c r="AG79" s="6">
        <f>-6.715+0.504</f>
        <v>-6.2110000000000003</v>
      </c>
      <c r="AH79" s="6">
        <v>874.1</v>
      </c>
      <c r="AI79" s="6">
        <v>179.31299999999999</v>
      </c>
      <c r="AJ79" s="6">
        <f>22.389+3.993</f>
        <v>26.381999999999998</v>
      </c>
      <c r="AK79" s="6">
        <v>58.332000000000001</v>
      </c>
      <c r="AL79" s="6">
        <v>22.879000000000001</v>
      </c>
    </row>
    <row r="80" spans="1:38" ht="15.75" x14ac:dyDescent="0.25">
      <c r="A80" s="13">
        <v>37226</v>
      </c>
      <c r="B80" s="6">
        <v>626.94446629999993</v>
      </c>
      <c r="C80" s="6">
        <v>13.910936270000001</v>
      </c>
      <c r="D80" s="6">
        <v>768.10076497</v>
      </c>
      <c r="E80" s="6">
        <v>203.77111234</v>
      </c>
      <c r="F80" s="6">
        <v>34.449727870000004</v>
      </c>
      <c r="G80" s="6">
        <v>297.8</v>
      </c>
      <c r="H80" s="6">
        <v>15.815</v>
      </c>
      <c r="I80" s="6">
        <v>0.32500000000000001</v>
      </c>
      <c r="J80" s="6">
        <v>89.162999999999997</v>
      </c>
      <c r="K80" s="6">
        <v>5.6120000000000001</v>
      </c>
      <c r="L80" s="6">
        <f>(1/1000)</f>
        <v>1E-3</v>
      </c>
      <c r="M80" s="6">
        <v>12.608000000000001</v>
      </c>
      <c r="N80" s="6">
        <v>11.145</v>
      </c>
      <c r="O80" s="6">
        <v>146.68837117999999</v>
      </c>
      <c r="P80" s="6">
        <v>25.109000000000002</v>
      </c>
      <c r="Q80" s="6">
        <v>0</v>
      </c>
      <c r="R80" s="6">
        <v>134.08178856999999</v>
      </c>
      <c r="S80" s="6">
        <v>127.87563883999999</v>
      </c>
      <c r="T80" s="6" t="s">
        <v>69</v>
      </c>
      <c r="U80" s="6" t="s">
        <v>69</v>
      </c>
      <c r="V80" s="6" t="s">
        <v>69</v>
      </c>
      <c r="W80" s="6">
        <v>92.9</v>
      </c>
      <c r="X80" s="6">
        <v>15.529</v>
      </c>
      <c r="Y80" s="6">
        <v>0.45900000000000002</v>
      </c>
      <c r="Z80" s="6">
        <v>14.554</v>
      </c>
      <c r="AA80" s="6">
        <v>2.0085685</v>
      </c>
      <c r="AB80" s="6">
        <v>60.954000000000001</v>
      </c>
      <c r="AC80" s="6">
        <v>1.4970000000000001</v>
      </c>
      <c r="AD80" s="6" t="s">
        <v>69</v>
      </c>
      <c r="AE80" s="6">
        <v>0.113</v>
      </c>
      <c r="AF80" s="6">
        <v>1.04</v>
      </c>
      <c r="AG80" s="6">
        <f>4.976+0.373</f>
        <v>5.3490000000000002</v>
      </c>
      <c r="AH80" s="6">
        <v>595.5</v>
      </c>
      <c r="AI80" s="6">
        <v>162.4</v>
      </c>
      <c r="AJ80" s="6">
        <f>18.186+4.795</f>
        <v>22.981000000000002</v>
      </c>
      <c r="AK80" s="6">
        <v>47.515000000000001</v>
      </c>
      <c r="AL80" s="6">
        <v>16.172000000000001</v>
      </c>
    </row>
    <row r="81" spans="1:38" ht="15.75" x14ac:dyDescent="0.25">
      <c r="A81" s="13">
        <v>37257</v>
      </c>
      <c r="B81" s="6">
        <v>607.37926153000001</v>
      </c>
      <c r="C81" s="6">
        <v>15.28947595</v>
      </c>
      <c r="D81" s="6">
        <v>872.22701510999991</v>
      </c>
      <c r="E81" s="6">
        <v>208.79313805999999</v>
      </c>
      <c r="F81" s="6">
        <v>37.336242120000001</v>
      </c>
      <c r="G81" s="6">
        <v>378.2</v>
      </c>
      <c r="H81" s="6">
        <v>11.478999999999999</v>
      </c>
      <c r="I81" s="6">
        <v>1.0660000000000001</v>
      </c>
      <c r="J81" s="6">
        <v>119.033</v>
      </c>
      <c r="K81" s="6">
        <v>4.8789999999999996</v>
      </c>
      <c r="L81" s="6">
        <v>0</v>
      </c>
      <c r="M81" s="6">
        <v>25.51</v>
      </c>
      <c r="N81" s="6">
        <v>22.867999999999999</v>
      </c>
      <c r="O81" s="6">
        <v>72.191748039999993</v>
      </c>
      <c r="P81" s="6">
        <v>33.064999999999998</v>
      </c>
      <c r="Q81" s="6">
        <v>0</v>
      </c>
      <c r="R81" s="6">
        <v>131.56877134000001</v>
      </c>
      <c r="S81" s="6">
        <v>140.93835917999999</v>
      </c>
      <c r="T81" s="6">
        <v>57.463999999999999</v>
      </c>
      <c r="U81" s="6">
        <v>3.5390000000000001</v>
      </c>
      <c r="V81" s="6" t="s">
        <v>69</v>
      </c>
      <c r="W81" s="6">
        <v>18.7</v>
      </c>
      <c r="X81" s="6">
        <v>17.826000000000001</v>
      </c>
      <c r="Y81" s="6">
        <v>0.61399999999999999</v>
      </c>
      <c r="Z81" s="6">
        <v>27.106999999999999</v>
      </c>
      <c r="AA81" s="6">
        <v>2.2872314399999998</v>
      </c>
      <c r="AB81" s="6">
        <v>71.274000000000001</v>
      </c>
      <c r="AC81" s="6">
        <v>1.9770000000000001</v>
      </c>
      <c r="AD81" s="6">
        <v>-8.6349999999999998</v>
      </c>
      <c r="AE81" s="6">
        <v>0.14699999999999999</v>
      </c>
      <c r="AF81" s="6">
        <v>0.95599999999999996</v>
      </c>
      <c r="AG81" s="6">
        <v>0.40400000000000003</v>
      </c>
      <c r="AH81" s="6">
        <v>905</v>
      </c>
      <c r="AI81" s="6">
        <v>228.89599999999999</v>
      </c>
      <c r="AJ81" s="6">
        <f>3.766-4.773</f>
        <v>-1.0069999999999997</v>
      </c>
      <c r="AK81" s="6">
        <v>59.201999999999998</v>
      </c>
      <c r="AL81" s="6">
        <v>18.300999999999998</v>
      </c>
    </row>
    <row r="82" spans="1:38" ht="15.75" x14ac:dyDescent="0.25">
      <c r="A82" s="13">
        <v>37288</v>
      </c>
      <c r="B82" s="6">
        <v>456.14369091000003</v>
      </c>
      <c r="C82" s="6">
        <v>12.585479490000001</v>
      </c>
      <c r="D82" s="6">
        <v>882.63989855</v>
      </c>
      <c r="E82" s="6">
        <v>198.37918175999999</v>
      </c>
      <c r="F82" s="6">
        <v>30.813605309999996</v>
      </c>
      <c r="G82" s="6">
        <v>286.60000000000002</v>
      </c>
      <c r="H82" s="6">
        <v>10.154</v>
      </c>
      <c r="I82" s="6">
        <v>0.13300000000000001</v>
      </c>
      <c r="J82" s="6">
        <v>103.372</v>
      </c>
      <c r="K82" s="6">
        <v>6.633</v>
      </c>
      <c r="L82" s="6">
        <v>0</v>
      </c>
      <c r="M82" s="6">
        <v>21.536000000000001</v>
      </c>
      <c r="N82" s="6">
        <v>13.215</v>
      </c>
      <c r="O82" s="6">
        <v>54.273437599999994</v>
      </c>
      <c r="P82" s="6">
        <v>55.845999999999997</v>
      </c>
      <c r="Q82" s="6">
        <v>0.14899999999999999</v>
      </c>
      <c r="R82" s="6">
        <v>142.48843087</v>
      </c>
      <c r="S82" s="6">
        <v>110.91641313</v>
      </c>
      <c r="T82" s="6">
        <v>36.676000000000002</v>
      </c>
      <c r="U82" s="6">
        <v>10.311999999999999</v>
      </c>
      <c r="V82" s="6" t="s">
        <v>69</v>
      </c>
      <c r="W82" s="6">
        <v>82.7</v>
      </c>
      <c r="X82" s="6">
        <v>16.050999999999998</v>
      </c>
      <c r="Y82" s="6">
        <v>0.57999999999999996</v>
      </c>
      <c r="Z82" s="6">
        <v>19.544</v>
      </c>
      <c r="AA82" s="6">
        <v>2.0380621699999999</v>
      </c>
      <c r="AB82" s="6">
        <v>64.668000000000006</v>
      </c>
      <c r="AC82" s="6">
        <v>1.792</v>
      </c>
      <c r="AD82" s="6">
        <v>3.1E-2</v>
      </c>
      <c r="AE82" s="6">
        <v>0.16300000000000001</v>
      </c>
      <c r="AF82" s="6">
        <v>1.2070000000000001</v>
      </c>
      <c r="AG82" s="6">
        <v>0.94599999999999995</v>
      </c>
      <c r="AH82" s="6">
        <v>738</v>
      </c>
      <c r="AI82" s="6">
        <v>172.30600000000001</v>
      </c>
      <c r="AJ82" s="6">
        <f>2.094+5.489</f>
        <v>7.5830000000000002</v>
      </c>
      <c r="AK82" s="6">
        <v>51.235999999999997</v>
      </c>
      <c r="AL82" s="6">
        <v>16.718</v>
      </c>
    </row>
    <row r="83" spans="1:38" ht="15.75" x14ac:dyDescent="0.25">
      <c r="A83" s="13">
        <v>37316</v>
      </c>
      <c r="B83" s="6">
        <v>464.43517316999998</v>
      </c>
      <c r="C83" s="6">
        <v>15.88512659</v>
      </c>
      <c r="D83" s="6">
        <v>837.48389176000012</v>
      </c>
      <c r="E83" s="6">
        <v>237.49386626</v>
      </c>
      <c r="F83" s="6">
        <v>33.889960080000002</v>
      </c>
      <c r="G83" s="6">
        <v>312.8</v>
      </c>
      <c r="H83" s="6">
        <v>7.7649999999999997</v>
      </c>
      <c r="I83" s="6">
        <v>3.2000000000000001E-2</v>
      </c>
      <c r="J83" s="6">
        <v>106.476</v>
      </c>
      <c r="K83" s="6">
        <v>5.37</v>
      </c>
      <c r="L83" s="6">
        <v>0</v>
      </c>
      <c r="M83" s="6">
        <v>19.588999999999999</v>
      </c>
      <c r="N83" s="6">
        <v>15.154999999999999</v>
      </c>
      <c r="O83" s="6">
        <v>38.824354280000001</v>
      </c>
      <c r="P83" s="6">
        <v>32.793999999999997</v>
      </c>
      <c r="Q83" s="6">
        <v>0</v>
      </c>
      <c r="R83" s="6">
        <v>123.08336543</v>
      </c>
      <c r="S83" s="6">
        <v>100.07561823</v>
      </c>
      <c r="T83" s="6">
        <v>38.347000000000001</v>
      </c>
      <c r="U83" s="6">
        <v>32.79</v>
      </c>
      <c r="V83" s="6" t="s">
        <v>69</v>
      </c>
      <c r="W83" s="6">
        <v>16.2</v>
      </c>
      <c r="X83" s="6">
        <v>16.381</v>
      </c>
      <c r="Y83" s="6">
        <v>0.66</v>
      </c>
      <c r="Z83" s="6">
        <v>19.189</v>
      </c>
      <c r="AA83" s="6">
        <v>98.043514040000005</v>
      </c>
      <c r="AB83" s="6">
        <v>65.769000000000005</v>
      </c>
      <c r="AC83" s="6">
        <v>2.0350000000000001</v>
      </c>
      <c r="AD83" s="6">
        <v>2.2010000000000001</v>
      </c>
      <c r="AE83" s="6">
        <v>0.33600000000000002</v>
      </c>
      <c r="AF83" s="6">
        <v>1.2430000000000001</v>
      </c>
      <c r="AG83" s="6">
        <v>0.38400000000000001</v>
      </c>
      <c r="AH83" s="6">
        <v>677.5</v>
      </c>
      <c r="AI83" s="6">
        <v>173.767</v>
      </c>
      <c r="AJ83" s="6">
        <f>7.436+2.158+39.262+0.384</f>
        <v>49.24</v>
      </c>
      <c r="AK83" s="6">
        <v>52.58</v>
      </c>
      <c r="AL83" s="6">
        <v>18.300999999999998</v>
      </c>
    </row>
    <row r="84" spans="1:38" ht="15.75" x14ac:dyDescent="0.25">
      <c r="A84" s="13">
        <v>37347</v>
      </c>
      <c r="B84" s="6">
        <v>415.33050835</v>
      </c>
      <c r="C84" s="6">
        <v>17.689200270000001</v>
      </c>
      <c r="D84" s="6">
        <v>745.84381481999992</v>
      </c>
      <c r="E84" s="6">
        <v>295.17914539999998</v>
      </c>
      <c r="F84" s="6">
        <v>33.624162040000002</v>
      </c>
      <c r="G84" s="6">
        <v>325.8</v>
      </c>
      <c r="H84" s="6">
        <v>5.7130000000000001</v>
      </c>
      <c r="I84" s="6">
        <v>4.2000000000000003E-2</v>
      </c>
      <c r="J84" s="6">
        <v>82.251999999999995</v>
      </c>
      <c r="K84" s="6">
        <v>5.1580000000000004</v>
      </c>
      <c r="L84" s="6">
        <v>0</v>
      </c>
      <c r="M84" s="6">
        <v>17.75</v>
      </c>
      <c r="N84" s="6">
        <v>19.792999999999999</v>
      </c>
      <c r="O84" s="6">
        <v>142.21440697</v>
      </c>
      <c r="P84" s="6">
        <v>43.253999999999998</v>
      </c>
      <c r="Q84" s="6">
        <v>0</v>
      </c>
      <c r="R84" s="6">
        <v>107.57905452</v>
      </c>
      <c r="S84" s="6">
        <v>91.119595739999909</v>
      </c>
      <c r="T84" s="6">
        <v>17.562999999999999</v>
      </c>
      <c r="U84" s="6">
        <v>6.907</v>
      </c>
      <c r="V84" s="6" t="s">
        <v>69</v>
      </c>
      <c r="W84" s="6">
        <v>12.4</v>
      </c>
      <c r="X84" s="6">
        <v>15.170999999999999</v>
      </c>
      <c r="Y84" s="6">
        <v>0.73</v>
      </c>
      <c r="Z84" s="6">
        <v>18.087</v>
      </c>
      <c r="AA84" s="6">
        <v>224.76615174</v>
      </c>
      <c r="AB84" s="6">
        <v>79.427000000000007</v>
      </c>
      <c r="AC84" s="6">
        <v>2.6320000000000001</v>
      </c>
      <c r="AD84" s="6">
        <v>2.3410000000000002</v>
      </c>
      <c r="AE84" s="6">
        <v>0.154</v>
      </c>
      <c r="AF84" s="6">
        <v>1.179</v>
      </c>
      <c r="AG84" s="6">
        <v>0.38700000000000001</v>
      </c>
      <c r="AH84" s="6">
        <v>677.1</v>
      </c>
      <c r="AI84" s="6">
        <v>180.422</v>
      </c>
      <c r="AJ84" s="6">
        <f>-3.841-33.904-25.641+62.87</f>
        <v>-0.51600000000000534</v>
      </c>
      <c r="AK84" s="6">
        <v>51.151000000000003</v>
      </c>
      <c r="AL84" s="6">
        <v>16.718</v>
      </c>
    </row>
    <row r="85" spans="1:38" ht="15.75" x14ac:dyDescent="0.25">
      <c r="A85" s="13">
        <v>37377</v>
      </c>
      <c r="B85" s="6">
        <v>863.18086588000006</v>
      </c>
      <c r="C85" s="6">
        <v>29.912864859999999</v>
      </c>
      <c r="D85" s="6">
        <v>1214.5017531799999</v>
      </c>
      <c r="E85" s="6">
        <v>472.87129202999995</v>
      </c>
      <c r="F85" s="6">
        <v>36.930918920000003</v>
      </c>
      <c r="G85" s="6">
        <v>506.6</v>
      </c>
      <c r="H85" s="6">
        <v>7.0869999999999997</v>
      </c>
      <c r="I85" s="6">
        <v>8.8999999999999996E-2</v>
      </c>
      <c r="J85" s="6">
        <v>144.81700000000001</v>
      </c>
      <c r="K85" s="6">
        <v>8.3409999999999993</v>
      </c>
      <c r="L85" s="6">
        <v>0</v>
      </c>
      <c r="M85" s="6">
        <v>27.562000000000001</v>
      </c>
      <c r="N85" s="6">
        <v>16.907</v>
      </c>
      <c r="O85" s="6">
        <v>176.46565581999999</v>
      </c>
      <c r="P85" s="6">
        <v>155.203</v>
      </c>
      <c r="Q85" s="6">
        <v>0</v>
      </c>
      <c r="R85" s="6">
        <v>148.69903294</v>
      </c>
      <c r="S85" s="6">
        <v>143.24332487000001</v>
      </c>
      <c r="T85" s="6">
        <v>84.950999999999993</v>
      </c>
      <c r="U85" s="6">
        <v>39.728000000000002</v>
      </c>
      <c r="V85" s="6" t="s">
        <v>69</v>
      </c>
      <c r="W85" s="6">
        <v>61.8</v>
      </c>
      <c r="X85" s="6">
        <v>24.437000000000001</v>
      </c>
      <c r="Y85" s="6">
        <v>2.089</v>
      </c>
      <c r="Z85" s="6">
        <v>40.180999999999997</v>
      </c>
      <c r="AA85" s="6">
        <v>439.99711126</v>
      </c>
      <c r="AB85" s="6">
        <v>108.315</v>
      </c>
      <c r="AC85" s="6">
        <v>3.88</v>
      </c>
      <c r="AD85" s="6">
        <v>1.345</v>
      </c>
      <c r="AE85" s="6">
        <v>0.22</v>
      </c>
      <c r="AF85" s="6">
        <v>1.694</v>
      </c>
      <c r="AG85" s="6">
        <v>0.53300000000000003</v>
      </c>
      <c r="AH85" s="6">
        <v>835.1</v>
      </c>
      <c r="AI85" s="6">
        <v>200.90600000000001</v>
      </c>
      <c r="AJ85" s="6">
        <f>-1.375+26.692-6.94+4.203</f>
        <v>22.58</v>
      </c>
      <c r="AK85" s="6">
        <v>58.622999999999998</v>
      </c>
      <c r="AL85" s="6">
        <v>17.077000000000002</v>
      </c>
    </row>
    <row r="86" spans="1:38" ht="15.75" x14ac:dyDescent="0.25">
      <c r="A86" s="13">
        <v>37408</v>
      </c>
      <c r="B86" s="6">
        <v>806.50891309999997</v>
      </c>
      <c r="C86" s="6">
        <v>26.268408549999997</v>
      </c>
      <c r="D86" s="6">
        <v>1144.8266349399998</v>
      </c>
      <c r="E86" s="6">
        <v>442.31605356000006</v>
      </c>
      <c r="F86" s="6">
        <v>40.746096659999999</v>
      </c>
      <c r="G86" s="6">
        <v>405.2</v>
      </c>
      <c r="H86" s="6">
        <v>8.2789999999999999</v>
      </c>
      <c r="I86" s="6">
        <v>5.2999999999999999E-2</v>
      </c>
      <c r="J86" s="6">
        <v>112.316</v>
      </c>
      <c r="K86" s="6">
        <v>7.6710000000000003</v>
      </c>
      <c r="L86" s="6">
        <v>0</v>
      </c>
      <c r="M86" s="6">
        <v>20.774999999999999</v>
      </c>
      <c r="N86" s="6">
        <v>13.243</v>
      </c>
      <c r="O86" s="6">
        <v>183.99780959</v>
      </c>
      <c r="P86" s="6">
        <v>57.02</v>
      </c>
      <c r="Q86" s="6">
        <v>0</v>
      </c>
      <c r="R86" s="6">
        <v>130.02447144000001</v>
      </c>
      <c r="S86" s="6">
        <v>120.30219993999999</v>
      </c>
      <c r="T86" s="6">
        <v>98.370999999999995</v>
      </c>
      <c r="U86" s="6">
        <v>22.556999999999999</v>
      </c>
      <c r="V86" s="6" t="s">
        <v>69</v>
      </c>
      <c r="W86" s="6">
        <v>68.400000000000006</v>
      </c>
      <c r="X86" s="6">
        <v>16.545000000000002</v>
      </c>
      <c r="Y86" s="6">
        <v>1.3029999999999999</v>
      </c>
      <c r="Z86" s="6">
        <v>21.204999999999998</v>
      </c>
      <c r="AA86" s="6">
        <v>596.46599079999999</v>
      </c>
      <c r="AB86" s="6">
        <v>108.57599999999999</v>
      </c>
      <c r="AC86" s="6">
        <v>3.6230000000000002</v>
      </c>
      <c r="AD86" s="6">
        <v>0.92600000000000005</v>
      </c>
      <c r="AE86" s="6">
        <v>0.16400000000000001</v>
      </c>
      <c r="AF86" s="6">
        <v>1.6319999999999999</v>
      </c>
      <c r="AG86" s="6">
        <v>0.46300000000000002</v>
      </c>
      <c r="AH86" s="6">
        <v>797.4</v>
      </c>
      <c r="AI86" s="6">
        <v>192.61099999999999</v>
      </c>
      <c r="AJ86" s="6">
        <f>2.302+0.255+3.425-21.701</f>
        <v>-15.719000000000001</v>
      </c>
      <c r="AK86" s="6">
        <v>53.366</v>
      </c>
      <c r="AL86" s="6">
        <v>15.635999999999999</v>
      </c>
    </row>
    <row r="87" spans="1:38" ht="15.75" x14ac:dyDescent="0.25">
      <c r="A87" s="13">
        <v>37438</v>
      </c>
      <c r="B87" s="6">
        <v>732.01547484999992</v>
      </c>
      <c r="C87" s="6">
        <v>31.790836609999999</v>
      </c>
      <c r="D87" s="6">
        <v>1250.3918254100001</v>
      </c>
      <c r="E87" s="6">
        <v>507.76006636</v>
      </c>
      <c r="F87" s="6">
        <v>53.051381710000001</v>
      </c>
      <c r="G87" s="6">
        <v>472.35943213000002</v>
      </c>
      <c r="H87" s="6">
        <v>5.0449999999999999</v>
      </c>
      <c r="I87" s="6">
        <v>8.6999999999999994E-2</v>
      </c>
      <c r="J87" s="6">
        <v>116.791</v>
      </c>
      <c r="K87" s="6">
        <v>7.7869999999999999</v>
      </c>
      <c r="L87" s="6">
        <v>0</v>
      </c>
      <c r="M87" s="6">
        <v>19.605</v>
      </c>
      <c r="N87" s="6">
        <v>20.689</v>
      </c>
      <c r="O87" s="6">
        <v>345.27515585999998</v>
      </c>
      <c r="P87" s="6">
        <v>87.576999999999998</v>
      </c>
      <c r="Q87" s="6">
        <v>0</v>
      </c>
      <c r="R87" s="6">
        <v>147.82195089000001</v>
      </c>
      <c r="S87" s="6">
        <v>117.48529037</v>
      </c>
      <c r="T87" s="6">
        <v>88.697999999999993</v>
      </c>
      <c r="U87" s="6">
        <v>23.184999999999999</v>
      </c>
      <c r="V87" s="6">
        <v>2.09</v>
      </c>
      <c r="W87" s="6">
        <v>31.877547020000002</v>
      </c>
      <c r="X87" s="6">
        <v>21.06</v>
      </c>
      <c r="Y87" s="6">
        <v>1.66</v>
      </c>
      <c r="Z87" s="9">
        <v>26.699000000000002</v>
      </c>
      <c r="AA87" s="6">
        <v>732.75353657999995</v>
      </c>
      <c r="AB87" s="6">
        <v>127.45099999999999</v>
      </c>
      <c r="AC87" s="6">
        <v>4.4950000000000001</v>
      </c>
      <c r="AD87" s="6">
        <v>0.221</v>
      </c>
      <c r="AE87" s="6">
        <v>0.40200000000000002</v>
      </c>
      <c r="AF87" s="6">
        <v>1.5349999999999999</v>
      </c>
      <c r="AG87" s="6">
        <v>0.72399999999999998</v>
      </c>
      <c r="AH87" s="6">
        <v>1122</v>
      </c>
      <c r="AI87" s="6">
        <v>281.86500000000001</v>
      </c>
      <c r="AJ87" s="6">
        <f>0.027-0.465-6.421-30.495</f>
        <v>-37.353999999999999</v>
      </c>
      <c r="AK87" s="6">
        <v>70.626999999999995</v>
      </c>
      <c r="AL87" s="6">
        <v>23.381</v>
      </c>
    </row>
    <row r="88" spans="1:38" ht="15.75" x14ac:dyDescent="0.25">
      <c r="A88" s="13">
        <v>37469</v>
      </c>
      <c r="B88" s="6">
        <v>814.85672777999991</v>
      </c>
      <c r="C88" s="6">
        <v>29.28428654</v>
      </c>
      <c r="D88" s="6">
        <v>1291.1654752299999</v>
      </c>
      <c r="E88" s="6">
        <v>449.09429958999999</v>
      </c>
      <c r="F88" s="6">
        <v>51.088669430000003</v>
      </c>
      <c r="G88" s="6">
        <v>430.43485049999998</v>
      </c>
      <c r="H88" s="6">
        <v>0.218</v>
      </c>
      <c r="I88" s="6">
        <v>0.152</v>
      </c>
      <c r="J88" s="6">
        <v>114.357</v>
      </c>
      <c r="K88" s="6">
        <v>1.4019999999999999</v>
      </c>
      <c r="L88" s="6">
        <v>0</v>
      </c>
      <c r="M88" s="6">
        <v>24.29</v>
      </c>
      <c r="N88" s="6">
        <v>18.094999999999999</v>
      </c>
      <c r="O88" s="6">
        <v>376.04039657999999</v>
      </c>
      <c r="P88" s="6">
        <v>175.166</v>
      </c>
      <c r="Q88" s="6">
        <v>0</v>
      </c>
      <c r="R88" s="6">
        <v>179.09721403999998</v>
      </c>
      <c r="S88" s="6">
        <v>119.91051093</v>
      </c>
      <c r="T88" s="6">
        <v>104.851</v>
      </c>
      <c r="U88" s="6">
        <v>23.835000000000001</v>
      </c>
      <c r="V88" s="6">
        <v>5.5339999999999998</v>
      </c>
      <c r="W88" s="6">
        <v>62.534427899999997</v>
      </c>
      <c r="X88" s="6">
        <v>18.713999999999999</v>
      </c>
      <c r="Y88" s="6">
        <v>1.379</v>
      </c>
      <c r="Z88" s="6">
        <v>31.742000000000001</v>
      </c>
      <c r="AA88" s="6">
        <v>684.23019394999994</v>
      </c>
      <c r="AB88" s="6">
        <v>122.699</v>
      </c>
      <c r="AC88" s="6">
        <v>4.6340000000000003</v>
      </c>
      <c r="AD88" s="6">
        <v>0.157</v>
      </c>
      <c r="AE88" s="6">
        <v>0.35899999999999999</v>
      </c>
      <c r="AF88" s="6">
        <v>1.407</v>
      </c>
      <c r="AG88" s="6">
        <v>0.63400000000000001</v>
      </c>
      <c r="AH88" s="6">
        <v>847.5</v>
      </c>
      <c r="AI88" s="6">
        <v>214.29599999999999</v>
      </c>
      <c r="AJ88" s="6">
        <f>0.117+0.189-0.086-2.466</f>
        <v>-2.246</v>
      </c>
      <c r="AK88" s="6">
        <v>59.164000000000001</v>
      </c>
      <c r="AL88" s="6">
        <v>18.417999999999999</v>
      </c>
    </row>
    <row r="89" spans="1:38" ht="15.75" x14ac:dyDescent="0.25">
      <c r="A89" s="13">
        <v>37500</v>
      </c>
      <c r="B89" s="6">
        <v>652.97562170000003</v>
      </c>
      <c r="C89" s="6">
        <v>30.175460279999996</v>
      </c>
      <c r="D89" s="6">
        <v>1292.6225426599999</v>
      </c>
      <c r="E89" s="6">
        <v>462.11678503999997</v>
      </c>
      <c r="F89" s="6">
        <v>69.444881319999993</v>
      </c>
      <c r="G89" s="6">
        <v>419.84146035999999</v>
      </c>
      <c r="H89" s="6">
        <v>1.2210000000000001</v>
      </c>
      <c r="I89" s="6">
        <v>0.126</v>
      </c>
      <c r="J89" s="6">
        <v>131.946</v>
      </c>
      <c r="K89" s="6">
        <v>1.1060000000000001</v>
      </c>
      <c r="L89" s="6">
        <v>0</v>
      </c>
      <c r="M89" s="6">
        <v>24.460999999999999</v>
      </c>
      <c r="N89" s="6">
        <v>19.195</v>
      </c>
      <c r="O89" s="6">
        <v>414.47664595999998</v>
      </c>
      <c r="P89" s="6">
        <v>120.196</v>
      </c>
      <c r="Q89" s="6">
        <v>0</v>
      </c>
      <c r="R89" s="6">
        <v>142.89356491999999</v>
      </c>
      <c r="S89" s="6">
        <v>108.53617021999999</v>
      </c>
      <c r="T89" s="6">
        <v>99.203000000000003</v>
      </c>
      <c r="U89" s="6">
        <v>24.922000000000001</v>
      </c>
      <c r="V89" s="6">
        <v>41.140999999999998</v>
      </c>
      <c r="W89" s="6">
        <v>20.09441803</v>
      </c>
      <c r="X89" s="6">
        <v>18.425999999999998</v>
      </c>
      <c r="Y89" s="6">
        <v>1.657</v>
      </c>
      <c r="Z89" s="6">
        <v>26.861000000000001</v>
      </c>
      <c r="AA89" s="6">
        <v>486.89402340999999</v>
      </c>
      <c r="AB89" s="6">
        <v>118.09099999999999</v>
      </c>
      <c r="AC89" s="6">
        <v>4.0049999999999999</v>
      </c>
      <c r="AD89" s="6">
        <v>0.19600000000000001</v>
      </c>
      <c r="AE89" s="6">
        <v>0.29499999999999998</v>
      </c>
      <c r="AF89" s="6">
        <v>2.214</v>
      </c>
      <c r="AG89" s="6">
        <v>1.002</v>
      </c>
      <c r="AH89" s="6">
        <v>847.3</v>
      </c>
      <c r="AI89" s="6">
        <v>217.56200000000001</v>
      </c>
      <c r="AJ89" s="6">
        <f>-0.198-0.245-0.737+2.874</f>
        <v>1.6940000000000002</v>
      </c>
      <c r="AK89" s="6">
        <v>58.280999999999999</v>
      </c>
      <c r="AL89" s="6">
        <v>21.558</v>
      </c>
    </row>
    <row r="90" spans="1:38" ht="15.75" x14ac:dyDescent="0.25">
      <c r="A90" s="13">
        <v>37530</v>
      </c>
      <c r="B90" s="6">
        <v>814.10174967</v>
      </c>
      <c r="C90" s="6">
        <v>34.715846110000001</v>
      </c>
      <c r="D90" s="6">
        <v>1252.17807421</v>
      </c>
      <c r="E90" s="6">
        <v>524.79398694999998</v>
      </c>
      <c r="F90" s="6">
        <v>45.923223129999997</v>
      </c>
      <c r="G90" s="6">
        <v>462.58842487999999</v>
      </c>
      <c r="H90" s="6">
        <v>0.11700000000000001</v>
      </c>
      <c r="I90" s="6">
        <v>0.16800000000000001</v>
      </c>
      <c r="J90" s="6">
        <v>119.813</v>
      </c>
      <c r="K90" s="6">
        <v>0.878</v>
      </c>
      <c r="L90" s="6">
        <v>0</v>
      </c>
      <c r="M90" s="6">
        <v>25.47</v>
      </c>
      <c r="N90" s="6">
        <v>17.626000000000001</v>
      </c>
      <c r="O90" s="6">
        <v>352.87580582999999</v>
      </c>
      <c r="P90" s="6">
        <v>160.73699999999999</v>
      </c>
      <c r="Q90" s="6">
        <v>0</v>
      </c>
      <c r="R90" s="6">
        <v>153.50292100999999</v>
      </c>
      <c r="S90" s="6">
        <v>104.01203914</v>
      </c>
      <c r="T90" s="6">
        <v>87.180999999999997</v>
      </c>
      <c r="U90" s="6">
        <v>21.846</v>
      </c>
      <c r="V90" s="6">
        <v>14.653</v>
      </c>
      <c r="W90" s="6">
        <v>66.598545169999994</v>
      </c>
      <c r="X90" s="7">
        <v>19.231000000000002</v>
      </c>
      <c r="Y90" s="7">
        <v>1.68</v>
      </c>
      <c r="Z90" s="6">
        <v>24.193000000000001</v>
      </c>
      <c r="AA90" s="6">
        <v>608.79435421999995</v>
      </c>
      <c r="AB90" s="6">
        <v>131.77699999999999</v>
      </c>
      <c r="AC90" s="6">
        <v>4.04</v>
      </c>
      <c r="AD90" s="6">
        <v>0.02</v>
      </c>
      <c r="AE90" s="6">
        <v>0.25700000000000001</v>
      </c>
      <c r="AF90" s="6">
        <v>1.458</v>
      </c>
      <c r="AG90" s="6">
        <v>0.59699999999999998</v>
      </c>
      <c r="AH90" s="6">
        <v>870.4</v>
      </c>
      <c r="AI90" s="6">
        <v>222.81</v>
      </c>
      <c r="AJ90" s="6">
        <f>0.201+0.173-0.355+1.586</f>
        <v>1.605</v>
      </c>
      <c r="AK90" s="6">
        <v>59.597000000000001</v>
      </c>
      <c r="AL90" s="6">
        <v>19.824000000000002</v>
      </c>
    </row>
    <row r="91" spans="1:38" ht="15.75" x14ac:dyDescent="0.25">
      <c r="A91" s="13">
        <v>37561</v>
      </c>
      <c r="B91" s="6">
        <v>1077.38158849</v>
      </c>
      <c r="C91" s="6">
        <v>33.20080549</v>
      </c>
      <c r="D91" s="6">
        <v>1326.1204324199998</v>
      </c>
      <c r="E91" s="6">
        <v>525.06968273999996</v>
      </c>
      <c r="F91" s="6">
        <v>55.949439280000007</v>
      </c>
      <c r="G91" s="6">
        <v>436.73714629</v>
      </c>
      <c r="H91" s="6">
        <v>7.4999999999999997E-2</v>
      </c>
      <c r="I91" s="6">
        <v>0.14099999999999999</v>
      </c>
      <c r="J91" s="6">
        <v>132.255</v>
      </c>
      <c r="K91" s="6">
        <v>0.751</v>
      </c>
      <c r="L91" s="6">
        <v>0</v>
      </c>
      <c r="M91" s="6">
        <v>27.949000000000002</v>
      </c>
      <c r="N91" s="6">
        <v>15.122999999999999</v>
      </c>
      <c r="O91" s="6">
        <v>349.44305356000001</v>
      </c>
      <c r="P91" s="6">
        <v>157.14500000000001</v>
      </c>
      <c r="Q91" s="6">
        <v>8.1000000000000003E-2</v>
      </c>
      <c r="R91" s="6">
        <v>118.48606577</v>
      </c>
      <c r="S91" s="6">
        <v>119.11623766999999</v>
      </c>
      <c r="T91" s="6">
        <v>104.81100000000001</v>
      </c>
      <c r="U91" s="6">
        <v>24.646999999999998</v>
      </c>
      <c r="V91" s="6">
        <v>10.074</v>
      </c>
      <c r="W91" s="6">
        <v>15.803830680000001</v>
      </c>
      <c r="X91" s="6">
        <v>18.643999999999998</v>
      </c>
      <c r="Y91" s="6">
        <v>1.4850000000000001</v>
      </c>
      <c r="Z91" s="6">
        <v>25.649000000000001</v>
      </c>
      <c r="AA91" s="6">
        <v>631.60985672000004</v>
      </c>
      <c r="AB91" s="6">
        <v>132.54300000000001</v>
      </c>
      <c r="AC91" s="6">
        <v>4.42</v>
      </c>
      <c r="AD91" s="6">
        <v>6.0000000000000001E-3</v>
      </c>
      <c r="AE91" s="6">
        <v>0.39800000000000002</v>
      </c>
      <c r="AF91" s="6">
        <v>1.59</v>
      </c>
      <c r="AG91" s="6">
        <v>0.71899999999999997</v>
      </c>
      <c r="AH91" s="6">
        <v>837.1</v>
      </c>
      <c r="AI91" s="6">
        <v>212.886</v>
      </c>
      <c r="AJ91" s="6">
        <f>0.05+0.186+2.115+0.945</f>
        <v>3.2959999999999998</v>
      </c>
      <c r="AK91" s="6">
        <v>59.337000000000003</v>
      </c>
      <c r="AL91" s="6">
        <v>19.376999999999999</v>
      </c>
    </row>
    <row r="92" spans="1:38" ht="15.75" x14ac:dyDescent="0.25">
      <c r="A92" s="13">
        <v>37591</v>
      </c>
      <c r="B92" s="6">
        <v>904.65550542999995</v>
      </c>
      <c r="C92" s="6">
        <v>33.575969540000003</v>
      </c>
      <c r="D92" s="6">
        <v>1255.3443324</v>
      </c>
      <c r="E92" s="6">
        <v>463.10303354000001</v>
      </c>
      <c r="F92" s="6">
        <v>45.821614650000001</v>
      </c>
      <c r="G92" s="6">
        <v>420.18496406999998</v>
      </c>
      <c r="H92" s="6">
        <v>0.314</v>
      </c>
      <c r="I92" s="6">
        <v>0.11899999999999999</v>
      </c>
      <c r="J92" s="6">
        <v>143.15700000000001</v>
      </c>
      <c r="K92" s="6">
        <v>1.1399999999999999</v>
      </c>
      <c r="L92" s="6">
        <v>0</v>
      </c>
      <c r="M92" s="6">
        <v>34.386000000000003</v>
      </c>
      <c r="N92" s="6">
        <v>25.725999999999999</v>
      </c>
      <c r="O92" s="6">
        <v>404.06353588000002</v>
      </c>
      <c r="P92" s="6">
        <v>143.77699999999999</v>
      </c>
      <c r="Q92" s="6">
        <v>0</v>
      </c>
      <c r="R92" s="6">
        <v>153.23315821</v>
      </c>
      <c r="S92" s="6">
        <v>180.83102671</v>
      </c>
      <c r="T92" s="6">
        <v>179.76599999999999</v>
      </c>
      <c r="U92" s="6">
        <v>32.869</v>
      </c>
      <c r="V92" s="6">
        <v>9.6959999999999997</v>
      </c>
      <c r="W92" s="6">
        <v>66.400000000000006</v>
      </c>
      <c r="X92" s="6">
        <v>20.771000000000001</v>
      </c>
      <c r="Y92" s="6">
        <v>1.6830000000000001</v>
      </c>
      <c r="Z92" s="6">
        <v>26.341999999999999</v>
      </c>
      <c r="AA92" s="6">
        <v>513.66074319999996</v>
      </c>
      <c r="AB92" s="6">
        <v>135.05199999999999</v>
      </c>
      <c r="AC92" s="6">
        <v>4.4000000000000004</v>
      </c>
      <c r="AD92" s="6">
        <v>5.1999999999999998E-2</v>
      </c>
      <c r="AE92" s="6">
        <v>0.751</v>
      </c>
      <c r="AF92" s="6">
        <v>1.7769999999999999</v>
      </c>
      <c r="AG92" s="6">
        <v>1.0900000000000001</v>
      </c>
      <c r="AH92" s="6">
        <v>839.5</v>
      </c>
      <c r="AI92" s="6">
        <v>213.30099999999999</v>
      </c>
      <c r="AJ92" s="6">
        <f>-0.268-0.232+5.252+13.314</f>
        <v>18.065999999999999</v>
      </c>
      <c r="AK92" s="6">
        <v>58.259</v>
      </c>
      <c r="AL92" s="6">
        <v>20.510999999999999</v>
      </c>
    </row>
    <row r="97" customFormat="1" x14ac:dyDescent="0.25"/>
  </sheetData>
  <mergeCells count="30">
    <mergeCell ref="AJ7:AJ8"/>
    <mergeCell ref="AK7:AK8"/>
    <mergeCell ref="AL7:AL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6:A8"/>
    <mergeCell ref="B6:AA6"/>
    <mergeCell ref="AB6:AI6"/>
    <mergeCell ref="AJ6:AL6"/>
    <mergeCell ref="B7:C7"/>
    <mergeCell ref="D7:E7"/>
    <mergeCell ref="F7:F8"/>
    <mergeCell ref="G7:G8"/>
    <mergeCell ref="H7:H8"/>
    <mergeCell ref="AC7:AC8"/>
    <mergeCell ref="I7:I8"/>
    <mergeCell ref="J7:M7"/>
    <mergeCell ref="N7:N8"/>
    <mergeCell ref="O7:Q7"/>
    <mergeCell ref="R7:V7"/>
    <mergeCell ref="W7:W8"/>
  </mergeCells>
  <hyperlinks>
    <hyperlink ref="B4" r:id="rId1" xr:uid="{147F5967-37DA-4493-9A56-837679FF8AC7}"/>
    <hyperlink ref="E4" location="INDICE!A1" display="Volver al indice" xr:uid="{94669CDD-EEE0-4196-A0D6-75D3317147F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DF4AA-0800-4C99-A8FC-4B5943DD5A81}">
  <dimension ref="A1:AL37"/>
  <sheetViews>
    <sheetView workbookViewId="0">
      <pane xSplit="1" ySplit="9" topLeftCell="B10" activePane="bottomRight" state="frozen"/>
      <selection pane="topRight" activeCell="B1" sqref="B1"/>
      <selection pane="bottomLeft" activeCell="A8" sqref="A8"/>
      <selection pane="bottomRight" activeCell="E4" sqref="E4"/>
    </sheetView>
  </sheetViews>
  <sheetFormatPr baseColWidth="10" defaultColWidth="11.42578125" defaultRowHeight="15" x14ac:dyDescent="0.25"/>
  <cols>
    <col min="15" max="15" width="12" bestFit="1" customWidth="1"/>
    <col min="17" max="17" width="10.42578125" bestFit="1" customWidth="1"/>
  </cols>
  <sheetData>
    <row r="1" spans="1:38" ht="23.25" x14ac:dyDescent="0.35">
      <c r="A1" s="17" t="s">
        <v>25</v>
      </c>
    </row>
    <row r="2" spans="1:38" ht="21" x14ac:dyDescent="0.35">
      <c r="A2" s="18" t="s">
        <v>70</v>
      </c>
    </row>
    <row r="3" spans="1:38" x14ac:dyDescent="0.25">
      <c r="A3" t="s">
        <v>186</v>
      </c>
    </row>
    <row r="4" spans="1:38" x14ac:dyDescent="0.25">
      <c r="A4" t="s">
        <v>28</v>
      </c>
      <c r="B4" s="35" t="s">
        <v>29</v>
      </c>
      <c r="E4" s="35" t="s">
        <v>30</v>
      </c>
    </row>
    <row r="6" spans="1:38" ht="15.75" x14ac:dyDescent="0.25">
      <c r="A6" s="63" t="s">
        <v>31</v>
      </c>
      <c r="B6" s="53" t="s">
        <v>32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4"/>
      <c r="AB6" s="54"/>
      <c r="AC6" s="54"/>
      <c r="AD6" s="54"/>
      <c r="AE6" s="54"/>
      <c r="AF6" s="54"/>
      <c r="AG6" s="54"/>
      <c r="AH6" s="53"/>
      <c r="AI6" s="53"/>
      <c r="AJ6" s="53"/>
      <c r="AK6" s="53"/>
      <c r="AL6" s="53"/>
    </row>
    <row r="7" spans="1:38" ht="15.75" x14ac:dyDescent="0.25">
      <c r="A7" s="63"/>
      <c r="B7" s="56" t="s">
        <v>33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5" t="s">
        <v>34</v>
      </c>
      <c r="AB7" s="56"/>
      <c r="AC7" s="56"/>
      <c r="AD7" s="56"/>
      <c r="AE7" s="56"/>
      <c r="AF7" s="56"/>
      <c r="AG7" s="57"/>
      <c r="AH7" s="59" t="s">
        <v>35</v>
      </c>
      <c r="AI7" s="59"/>
      <c r="AJ7" s="59"/>
      <c r="AK7" s="59"/>
      <c r="AL7" s="59"/>
    </row>
    <row r="8" spans="1:38" ht="15.75" x14ac:dyDescent="0.25">
      <c r="A8" s="63"/>
      <c r="B8" s="56" t="s">
        <v>36</v>
      </c>
      <c r="C8" s="57"/>
      <c r="D8" s="56" t="s">
        <v>37</v>
      </c>
      <c r="E8" s="56"/>
      <c r="F8" s="64" t="s">
        <v>38</v>
      </c>
      <c r="G8" s="64" t="s">
        <v>39</v>
      </c>
      <c r="H8" s="65" t="s">
        <v>174</v>
      </c>
      <c r="I8" s="65" t="s">
        <v>175</v>
      </c>
      <c r="J8" s="60" t="s">
        <v>40</v>
      </c>
      <c r="K8" s="60"/>
      <c r="L8" s="60"/>
      <c r="M8" s="60"/>
      <c r="N8" s="65" t="s">
        <v>41</v>
      </c>
      <c r="O8" s="60" t="s">
        <v>42</v>
      </c>
      <c r="P8" s="60"/>
      <c r="Q8" s="61"/>
      <c r="R8" s="62" t="s">
        <v>176</v>
      </c>
      <c r="S8" s="60"/>
      <c r="T8" s="60"/>
      <c r="U8" s="60"/>
      <c r="V8" s="60"/>
      <c r="W8" s="64" t="s">
        <v>44</v>
      </c>
      <c r="X8" s="65" t="s">
        <v>46</v>
      </c>
      <c r="Y8" s="65" t="s">
        <v>177</v>
      </c>
      <c r="Z8" s="64" t="s">
        <v>47</v>
      </c>
      <c r="AA8" s="66" t="s">
        <v>48</v>
      </c>
      <c r="AB8" s="64" t="s">
        <v>49</v>
      </c>
      <c r="AC8" s="64" t="s">
        <v>50</v>
      </c>
      <c r="AD8" s="64" t="s">
        <v>51</v>
      </c>
      <c r="AE8" s="64" t="s">
        <v>52</v>
      </c>
      <c r="AF8" s="64" t="s">
        <v>178</v>
      </c>
      <c r="AG8" s="67" t="s">
        <v>54</v>
      </c>
      <c r="AH8" s="64" t="s">
        <v>55</v>
      </c>
      <c r="AI8" s="64" t="s">
        <v>56</v>
      </c>
      <c r="AJ8" s="64" t="s">
        <v>60</v>
      </c>
      <c r="AK8" s="64" t="s">
        <v>57</v>
      </c>
      <c r="AL8" s="64" t="s">
        <v>58</v>
      </c>
    </row>
    <row r="9" spans="1:38" ht="78.75" x14ac:dyDescent="0.25">
      <c r="A9" s="63"/>
      <c r="B9" s="19" t="s">
        <v>61</v>
      </c>
      <c r="C9" s="15" t="s">
        <v>62</v>
      </c>
      <c r="D9" s="19" t="s">
        <v>63</v>
      </c>
      <c r="E9" s="19" t="s">
        <v>64</v>
      </c>
      <c r="F9" s="64"/>
      <c r="G9" s="64"/>
      <c r="H9" s="64"/>
      <c r="I9" s="64"/>
      <c r="J9" s="19" t="s">
        <v>65</v>
      </c>
      <c r="K9" s="19" t="s">
        <v>179</v>
      </c>
      <c r="L9" s="19" t="s">
        <v>180</v>
      </c>
      <c r="M9" s="19" t="s">
        <v>54</v>
      </c>
      <c r="N9" s="64"/>
      <c r="O9" s="19" t="s">
        <v>66</v>
      </c>
      <c r="P9" s="19" t="s">
        <v>67</v>
      </c>
      <c r="Q9" s="15" t="s">
        <v>68</v>
      </c>
      <c r="R9" s="19" t="s">
        <v>181</v>
      </c>
      <c r="S9" s="19" t="s">
        <v>182</v>
      </c>
      <c r="T9" s="19" t="s">
        <v>183</v>
      </c>
      <c r="U9" s="19" t="s">
        <v>184</v>
      </c>
      <c r="V9" s="19" t="s">
        <v>185</v>
      </c>
      <c r="W9" s="64"/>
      <c r="X9" s="64"/>
      <c r="Y9" s="64"/>
      <c r="Z9" s="64"/>
      <c r="AA9" s="66"/>
      <c r="AB9" s="64"/>
      <c r="AC9" s="64"/>
      <c r="AD9" s="64"/>
      <c r="AE9" s="64"/>
      <c r="AF9" s="64"/>
      <c r="AG9" s="67"/>
      <c r="AH9" s="64"/>
      <c r="AI9" s="64"/>
      <c r="AJ9" s="64"/>
      <c r="AK9" s="64"/>
      <c r="AL9" s="64"/>
    </row>
    <row r="10" spans="1:38" x14ac:dyDescent="0.25">
      <c r="A10" t="s">
        <v>187</v>
      </c>
      <c r="B10" s="23">
        <v>1510.1499999999999</v>
      </c>
      <c r="C10" s="23">
        <v>81.051999999999992</v>
      </c>
      <c r="D10" s="23">
        <v>3706.0720000000001</v>
      </c>
      <c r="E10" s="23">
        <v>1315.7939999999999</v>
      </c>
      <c r="F10" s="23" t="s">
        <v>69</v>
      </c>
      <c r="G10" s="23" t="s">
        <v>69</v>
      </c>
      <c r="H10" s="23" t="s">
        <v>69</v>
      </c>
      <c r="I10" s="23" t="s">
        <v>69</v>
      </c>
      <c r="J10" s="23">
        <v>346.94600000000003</v>
      </c>
      <c r="K10" s="23">
        <v>64.128</v>
      </c>
      <c r="L10" s="23" t="s">
        <v>69</v>
      </c>
      <c r="M10" s="23">
        <v>159.21199999999999</v>
      </c>
      <c r="N10" s="23">
        <v>20.378</v>
      </c>
      <c r="O10" s="23">
        <v>308.53700000000003</v>
      </c>
      <c r="P10" s="23">
        <v>175.12100000000001</v>
      </c>
      <c r="Q10" s="23">
        <v>32.048000000000002</v>
      </c>
      <c r="R10" s="23">
        <v>433.32100000000003</v>
      </c>
      <c r="S10" s="23" t="s">
        <v>69</v>
      </c>
      <c r="T10" s="23" t="s">
        <v>69</v>
      </c>
      <c r="U10" s="23" t="s">
        <v>69</v>
      </c>
      <c r="V10" s="23" t="s">
        <v>69</v>
      </c>
      <c r="W10" s="23">
        <v>22.850999999999999</v>
      </c>
      <c r="X10" s="23" t="s">
        <v>69</v>
      </c>
      <c r="Y10" s="23" t="s">
        <v>69</v>
      </c>
      <c r="Z10" s="23">
        <v>157.38899999999998</v>
      </c>
      <c r="AA10" s="23">
        <v>4.7629999999999999</v>
      </c>
      <c r="AB10" s="23">
        <v>399.26499999999999</v>
      </c>
      <c r="AC10" s="23">
        <v>68.587000000000003</v>
      </c>
      <c r="AD10" s="23" t="s">
        <v>69</v>
      </c>
      <c r="AE10" s="23">
        <v>0.47499999999999998</v>
      </c>
      <c r="AF10" s="23">
        <v>10.484999999999999</v>
      </c>
      <c r="AG10" s="23">
        <v>0.18500000000000003</v>
      </c>
      <c r="AH10" s="23">
        <v>3168.741</v>
      </c>
      <c r="AI10" s="23">
        <v>651.68600000000004</v>
      </c>
      <c r="AJ10" s="23">
        <v>217.70400000000001</v>
      </c>
      <c r="AK10" s="23" t="s">
        <v>69</v>
      </c>
      <c r="AL10" s="23" t="s">
        <v>69</v>
      </c>
    </row>
    <row r="11" spans="1:38" x14ac:dyDescent="0.25">
      <c r="A11" t="s">
        <v>72</v>
      </c>
      <c r="B11" s="23">
        <v>1810.5309999999999</v>
      </c>
      <c r="C11" s="23">
        <v>92.265000000000015</v>
      </c>
      <c r="D11" s="23">
        <v>3406.027</v>
      </c>
      <c r="E11" s="23">
        <v>1455.3589999999999</v>
      </c>
      <c r="F11" s="23" t="s">
        <v>69</v>
      </c>
      <c r="G11" s="23" t="s">
        <v>69</v>
      </c>
      <c r="H11" s="23" t="s">
        <v>69</v>
      </c>
      <c r="I11" s="23" t="s">
        <v>69</v>
      </c>
      <c r="J11" s="23">
        <v>327.41300000000001</v>
      </c>
      <c r="K11" s="23">
        <v>65.048000000000002</v>
      </c>
      <c r="L11" s="23" t="s">
        <v>69</v>
      </c>
      <c r="M11" s="23">
        <v>110.42100000000001</v>
      </c>
      <c r="N11" s="23">
        <v>47.903999999999996</v>
      </c>
      <c r="O11" s="23">
        <v>280.41700000000003</v>
      </c>
      <c r="P11" s="23">
        <v>146.12099999999998</v>
      </c>
      <c r="Q11" s="23">
        <v>29.500999999999998</v>
      </c>
      <c r="R11" s="23">
        <v>514.15</v>
      </c>
      <c r="S11" s="23" t="s">
        <v>69</v>
      </c>
      <c r="T11" s="23" t="s">
        <v>69</v>
      </c>
      <c r="U11" s="23" t="s">
        <v>69</v>
      </c>
      <c r="V11" s="23" t="s">
        <v>69</v>
      </c>
      <c r="W11" s="23">
        <v>184.102</v>
      </c>
      <c r="X11" s="23" t="s">
        <v>69</v>
      </c>
      <c r="Y11" s="23" t="s">
        <v>69</v>
      </c>
      <c r="Z11" s="23">
        <v>177.077</v>
      </c>
      <c r="AA11" s="23">
        <v>16.085000000000001</v>
      </c>
      <c r="AB11" s="23">
        <v>437.21199999999999</v>
      </c>
      <c r="AC11" s="23">
        <v>78.018000000000001</v>
      </c>
      <c r="AD11" s="23" t="s">
        <v>69</v>
      </c>
      <c r="AE11" s="23">
        <v>1.663</v>
      </c>
      <c r="AF11" s="23">
        <v>12.314</v>
      </c>
      <c r="AG11" s="23">
        <v>0.23</v>
      </c>
      <c r="AH11" s="23">
        <v>2776.8420000000001</v>
      </c>
      <c r="AI11" s="23">
        <v>562.26400000000001</v>
      </c>
      <c r="AJ11" s="23">
        <v>174.94899999999998</v>
      </c>
      <c r="AK11" s="23" t="s">
        <v>69</v>
      </c>
      <c r="AL11" s="23" t="s">
        <v>69</v>
      </c>
    </row>
    <row r="12" spans="1:38" x14ac:dyDescent="0.25">
      <c r="A12" t="s">
        <v>188</v>
      </c>
      <c r="B12" s="23">
        <v>1443.6750000000002</v>
      </c>
      <c r="C12" s="23">
        <v>111.816</v>
      </c>
      <c r="D12" s="23">
        <v>3360.0149999999999</v>
      </c>
      <c r="E12" s="23">
        <v>1712.5160000000001</v>
      </c>
      <c r="F12" s="23" t="s">
        <v>69</v>
      </c>
      <c r="G12" s="23" t="s">
        <v>69</v>
      </c>
      <c r="H12" s="23" t="s">
        <v>69</v>
      </c>
      <c r="I12" s="23" t="s">
        <v>69</v>
      </c>
      <c r="J12" s="23">
        <v>323.3</v>
      </c>
      <c r="K12" s="23">
        <v>59.984999999999999</v>
      </c>
      <c r="L12" s="23" t="s">
        <v>69</v>
      </c>
      <c r="M12" s="23">
        <v>40.455999999999996</v>
      </c>
      <c r="N12" s="23">
        <v>45.41</v>
      </c>
      <c r="O12" s="23">
        <v>313.81099999999998</v>
      </c>
      <c r="P12" s="23">
        <v>151.38299999999998</v>
      </c>
      <c r="Q12" s="23">
        <v>35.960999999999999</v>
      </c>
      <c r="R12" s="23">
        <v>501.97699999999998</v>
      </c>
      <c r="S12" s="23" t="s">
        <v>69</v>
      </c>
      <c r="T12" s="23" t="s">
        <v>69</v>
      </c>
      <c r="U12" s="23" t="s">
        <v>69</v>
      </c>
      <c r="V12" s="23" t="s">
        <v>69</v>
      </c>
      <c r="W12" s="23">
        <v>238.84800000000001</v>
      </c>
      <c r="X12" s="23" t="s">
        <v>69</v>
      </c>
      <c r="Y12" s="23" t="s">
        <v>69</v>
      </c>
      <c r="Z12" s="23">
        <v>154.447</v>
      </c>
      <c r="AA12" s="23">
        <v>6.5830000000000002</v>
      </c>
      <c r="AB12" s="23">
        <v>503.20799999999997</v>
      </c>
      <c r="AC12" s="23">
        <v>92.007000000000005</v>
      </c>
      <c r="AD12" s="23" t="s">
        <v>69</v>
      </c>
      <c r="AE12" s="23">
        <v>1.2969999999999999</v>
      </c>
      <c r="AF12" s="23">
        <v>12.806000000000001</v>
      </c>
      <c r="AG12" s="23">
        <v>7.6999999999999999E-2</v>
      </c>
      <c r="AH12" s="23">
        <v>3402.1120000000001</v>
      </c>
      <c r="AI12" s="23">
        <v>658.71600000000001</v>
      </c>
      <c r="AJ12" s="23">
        <v>145.434</v>
      </c>
      <c r="AK12" s="23">
        <v>116.241</v>
      </c>
      <c r="AL12" s="23" t="s">
        <v>69</v>
      </c>
    </row>
    <row r="13" spans="1:38" x14ac:dyDescent="0.25">
      <c r="A13" t="s">
        <v>189</v>
      </c>
      <c r="B13" s="23">
        <v>1642.9179999999999</v>
      </c>
      <c r="C13" s="23">
        <v>108.58900000000001</v>
      </c>
      <c r="D13" s="23">
        <v>3418.4120000000003</v>
      </c>
      <c r="E13" s="23">
        <v>1777.2249999999999</v>
      </c>
      <c r="F13" s="23" t="s">
        <v>69</v>
      </c>
      <c r="G13" s="23" t="s">
        <v>69</v>
      </c>
      <c r="H13" s="23" t="s">
        <v>69</v>
      </c>
      <c r="I13" s="23" t="s">
        <v>69</v>
      </c>
      <c r="J13" s="23">
        <v>346.053</v>
      </c>
      <c r="K13" s="23">
        <v>60.347999999999999</v>
      </c>
      <c r="L13" s="23" t="s">
        <v>69</v>
      </c>
      <c r="M13" s="23">
        <v>37.234999999999999</v>
      </c>
      <c r="N13" s="23">
        <v>58.611999999999995</v>
      </c>
      <c r="O13" s="23">
        <v>423.58</v>
      </c>
      <c r="P13" s="23">
        <v>139.32400000000001</v>
      </c>
      <c r="Q13" s="23">
        <v>23.251000000000001</v>
      </c>
      <c r="R13" s="23">
        <v>750.31</v>
      </c>
      <c r="S13" s="23">
        <v>138.53</v>
      </c>
      <c r="T13" s="23" t="s">
        <v>69</v>
      </c>
      <c r="U13" s="23" t="s">
        <v>69</v>
      </c>
      <c r="V13" s="23" t="s">
        <v>69</v>
      </c>
      <c r="W13" s="23">
        <v>207.24200000000002</v>
      </c>
      <c r="X13" s="23" t="s">
        <v>69</v>
      </c>
      <c r="Y13" s="23" t="s">
        <v>69</v>
      </c>
      <c r="Z13" s="23">
        <v>155.255</v>
      </c>
      <c r="AA13" s="23">
        <v>0.88600000000000001</v>
      </c>
      <c r="AB13" s="23">
        <v>557.95800000000008</v>
      </c>
      <c r="AC13" s="23">
        <v>89.811999999999998</v>
      </c>
      <c r="AD13" s="23" t="s">
        <v>69</v>
      </c>
      <c r="AE13" s="23">
        <v>1.1920000000000002</v>
      </c>
      <c r="AF13" s="23">
        <v>14.01</v>
      </c>
      <c r="AG13" s="23">
        <v>0.33900000000000002</v>
      </c>
      <c r="AH13" s="23">
        <v>3063.8450000000003</v>
      </c>
      <c r="AI13" s="23">
        <v>582.08699999999999</v>
      </c>
      <c r="AJ13" s="23">
        <v>139.185</v>
      </c>
      <c r="AK13" s="23">
        <v>113.119</v>
      </c>
      <c r="AL13" s="23" t="s">
        <v>69</v>
      </c>
    </row>
    <row r="14" spans="1:38" x14ac:dyDescent="0.25">
      <c r="A14" t="s">
        <v>190</v>
      </c>
      <c r="B14" s="23">
        <v>1591.1219858499999</v>
      </c>
      <c r="C14" s="23">
        <v>101.15158597999999</v>
      </c>
      <c r="D14" s="23">
        <v>3708.9266764099998</v>
      </c>
      <c r="E14" s="23">
        <v>1627.4265588999999</v>
      </c>
      <c r="F14" s="23" t="s">
        <v>69</v>
      </c>
      <c r="G14" s="23" t="s">
        <v>69</v>
      </c>
      <c r="H14" s="23" t="s">
        <v>69</v>
      </c>
      <c r="I14" s="23" t="s">
        <v>69</v>
      </c>
      <c r="J14" s="23">
        <v>353.79599999999999</v>
      </c>
      <c r="K14" s="23">
        <v>60.604999999999997</v>
      </c>
      <c r="L14" s="23">
        <v>0.36699999999999999</v>
      </c>
      <c r="M14" s="23">
        <v>62.292999999999999</v>
      </c>
      <c r="N14" s="23">
        <v>48.807000000000002</v>
      </c>
      <c r="O14" s="23">
        <v>356.72780967</v>
      </c>
      <c r="P14" s="23">
        <v>145.89400000000001</v>
      </c>
      <c r="Q14" s="23">
        <v>25.262</v>
      </c>
      <c r="R14" s="23">
        <v>564.99764483000001</v>
      </c>
      <c r="S14" s="23">
        <v>379.01616192999995</v>
      </c>
      <c r="T14" s="23" t="s">
        <v>69</v>
      </c>
      <c r="U14" s="23" t="s">
        <v>69</v>
      </c>
      <c r="V14" s="23" t="s">
        <v>69</v>
      </c>
      <c r="W14" s="23">
        <v>16.85893823</v>
      </c>
      <c r="X14" s="23" t="s">
        <v>69</v>
      </c>
      <c r="Y14" s="23" t="s">
        <v>69</v>
      </c>
      <c r="Z14" s="23">
        <v>138.22300000000001</v>
      </c>
      <c r="AA14" s="23">
        <v>0.54400000000000004</v>
      </c>
      <c r="AB14" s="23">
        <v>526.60599999999999</v>
      </c>
      <c r="AC14" s="23">
        <v>85.956999999999994</v>
      </c>
      <c r="AD14" s="23" t="s">
        <v>69</v>
      </c>
      <c r="AE14" s="23">
        <v>1.109</v>
      </c>
      <c r="AF14" s="23">
        <v>4.7910000000000004</v>
      </c>
      <c r="AG14" s="23">
        <v>0.21000000000000002</v>
      </c>
      <c r="AH14" s="23">
        <v>3534.9</v>
      </c>
      <c r="AI14" s="23">
        <v>675.08299999999997</v>
      </c>
      <c r="AJ14" s="23">
        <v>121.82499999999999</v>
      </c>
      <c r="AK14" s="23">
        <v>128.822</v>
      </c>
      <c r="AL14" s="23" t="s">
        <v>69</v>
      </c>
    </row>
    <row r="15" spans="1:38" x14ac:dyDescent="0.25">
      <c r="A15" t="s">
        <v>76</v>
      </c>
      <c r="B15" s="23">
        <v>2575.3889411499999</v>
      </c>
      <c r="C15" s="23">
        <v>123.75010022000001</v>
      </c>
      <c r="D15" s="23">
        <v>3561.5380108000004</v>
      </c>
      <c r="E15" s="23">
        <v>1906.7356458300001</v>
      </c>
      <c r="F15" s="23" t="s">
        <v>69</v>
      </c>
      <c r="G15" s="23" t="s">
        <v>69</v>
      </c>
      <c r="H15" s="23" t="s">
        <v>69</v>
      </c>
      <c r="I15" s="23" t="s">
        <v>69</v>
      </c>
      <c r="J15" s="23">
        <v>313.21600000000001</v>
      </c>
      <c r="K15" s="23">
        <v>66.74799999999999</v>
      </c>
      <c r="L15" s="23">
        <v>1.3460000000000001</v>
      </c>
      <c r="M15" s="23">
        <v>63.048999999999999</v>
      </c>
      <c r="N15" s="23">
        <v>49.557000000000002</v>
      </c>
      <c r="O15" s="23">
        <v>429.61534814000004</v>
      </c>
      <c r="P15" s="23">
        <v>146.828</v>
      </c>
      <c r="Q15" s="23">
        <v>6.947000000000001</v>
      </c>
      <c r="R15" s="23">
        <v>670.8078716</v>
      </c>
      <c r="S15" s="23">
        <v>217.20966268000001</v>
      </c>
      <c r="T15" s="23" t="s">
        <v>69</v>
      </c>
      <c r="U15" s="23" t="s">
        <v>69</v>
      </c>
      <c r="V15" s="23" t="s">
        <v>69</v>
      </c>
      <c r="W15" s="23">
        <v>217.65677828999998</v>
      </c>
      <c r="X15" s="23" t="s">
        <v>69</v>
      </c>
      <c r="Y15" s="23" t="s">
        <v>69</v>
      </c>
      <c r="Z15" s="23">
        <v>92.942999999999998</v>
      </c>
      <c r="AA15" s="23">
        <v>3.657</v>
      </c>
      <c r="AB15" s="23">
        <v>591.51199999999994</v>
      </c>
      <c r="AC15" s="23">
        <v>98.962000000000003</v>
      </c>
      <c r="AD15" s="23" t="s">
        <v>69</v>
      </c>
      <c r="AE15" s="23">
        <v>1.0819999999999999</v>
      </c>
      <c r="AF15" s="23">
        <v>6.01</v>
      </c>
      <c r="AG15" s="23">
        <v>0.16999999999999998</v>
      </c>
      <c r="AH15" s="23">
        <v>3155.3</v>
      </c>
      <c r="AI15" s="23">
        <v>603.13499999999999</v>
      </c>
      <c r="AJ15" s="23">
        <v>103.62</v>
      </c>
      <c r="AK15" s="23">
        <v>121.32300000000001</v>
      </c>
      <c r="AL15" s="23" t="s">
        <v>69</v>
      </c>
    </row>
    <row r="16" spans="1:38" x14ac:dyDescent="0.25">
      <c r="A16" t="s">
        <v>191</v>
      </c>
      <c r="B16" s="23">
        <v>1699.2834554300002</v>
      </c>
      <c r="C16" s="23">
        <v>137.57472609999999</v>
      </c>
      <c r="D16" s="23">
        <v>3644.1901326199995</v>
      </c>
      <c r="E16" s="23">
        <v>2135.4445788499997</v>
      </c>
      <c r="F16" s="23" t="s">
        <v>69</v>
      </c>
      <c r="G16" s="23" t="s">
        <v>69</v>
      </c>
      <c r="H16" s="23" t="s">
        <v>69</v>
      </c>
      <c r="I16" s="23" t="s">
        <v>69</v>
      </c>
      <c r="J16" s="23">
        <v>316.85199999999998</v>
      </c>
      <c r="K16" s="23">
        <v>67.537999999999997</v>
      </c>
      <c r="L16" s="23">
        <v>17.860999999999997</v>
      </c>
      <c r="M16" s="23">
        <v>45.012999999999991</v>
      </c>
      <c r="N16" s="23">
        <v>46.963999999999999</v>
      </c>
      <c r="O16" s="23">
        <v>453.65242539999997</v>
      </c>
      <c r="P16" s="23">
        <v>137.00900000000001</v>
      </c>
      <c r="Q16" s="23">
        <v>7.8100000000000005</v>
      </c>
      <c r="R16" s="23">
        <v>568.23523372</v>
      </c>
      <c r="S16" s="23">
        <v>367.46493543999998</v>
      </c>
      <c r="T16" s="23" t="s">
        <v>69</v>
      </c>
      <c r="U16" s="23" t="s">
        <v>69</v>
      </c>
      <c r="V16" s="23" t="s">
        <v>69</v>
      </c>
      <c r="W16" s="23">
        <v>102.26980207999999</v>
      </c>
      <c r="X16" s="23" t="s">
        <v>69</v>
      </c>
      <c r="Y16" s="23" t="s">
        <v>69</v>
      </c>
      <c r="Z16" s="23">
        <v>132.60300000000001</v>
      </c>
      <c r="AA16" s="23">
        <v>1.923</v>
      </c>
      <c r="AB16" s="23">
        <v>650.36699999999996</v>
      </c>
      <c r="AC16" s="23">
        <v>104.64700000000001</v>
      </c>
      <c r="AD16" s="23" t="s">
        <v>69</v>
      </c>
      <c r="AE16" s="23">
        <v>0.71399999999999997</v>
      </c>
      <c r="AF16" s="23">
        <v>4.899</v>
      </c>
      <c r="AG16" s="23">
        <v>0.115</v>
      </c>
      <c r="AH16" s="23">
        <v>3658.9449999999997</v>
      </c>
      <c r="AI16" s="23">
        <v>695.36599999999999</v>
      </c>
      <c r="AJ16" s="23">
        <v>94.125</v>
      </c>
      <c r="AK16" s="23">
        <v>135.63200000000001</v>
      </c>
      <c r="AL16" s="23" t="s">
        <v>69</v>
      </c>
    </row>
    <row r="17" spans="1:38" x14ac:dyDescent="0.25">
      <c r="A17" t="s">
        <v>192</v>
      </c>
      <c r="B17" s="23">
        <v>1972.2367766999998</v>
      </c>
      <c r="C17" s="23">
        <v>133.27066529999999</v>
      </c>
      <c r="D17" s="23">
        <v>3724.3316996399999</v>
      </c>
      <c r="E17" s="23">
        <v>2028.52451129</v>
      </c>
      <c r="F17" s="23" t="s">
        <v>69</v>
      </c>
      <c r="G17" s="23" t="s">
        <v>69</v>
      </c>
      <c r="H17" s="23" t="s">
        <v>69</v>
      </c>
      <c r="I17" s="23" t="s">
        <v>69</v>
      </c>
      <c r="J17" s="23">
        <v>334.38200000000001</v>
      </c>
      <c r="K17" s="23">
        <v>63.846999999999994</v>
      </c>
      <c r="L17" s="23">
        <v>85.447000000000003</v>
      </c>
      <c r="M17" s="23">
        <v>48.738</v>
      </c>
      <c r="N17" s="23">
        <v>48.497</v>
      </c>
      <c r="O17" s="23">
        <v>623.24821823000002</v>
      </c>
      <c r="P17" s="23">
        <v>163.46199999999999</v>
      </c>
      <c r="Q17" s="23">
        <v>20.298000000000002</v>
      </c>
      <c r="R17" s="23">
        <v>639.77760252999997</v>
      </c>
      <c r="S17" s="23">
        <v>519.57581615000004</v>
      </c>
      <c r="T17" s="23" t="s">
        <v>69</v>
      </c>
      <c r="U17" s="23" t="s">
        <v>69</v>
      </c>
      <c r="V17" s="23" t="s">
        <v>69</v>
      </c>
      <c r="W17" s="23">
        <v>151.90827099000001</v>
      </c>
      <c r="X17" s="23" t="s">
        <v>69</v>
      </c>
      <c r="Y17" s="23" t="s">
        <v>69</v>
      </c>
      <c r="Z17" s="23">
        <v>128.798</v>
      </c>
      <c r="AA17" s="23">
        <v>0.36100000000000004</v>
      </c>
      <c r="AB17" s="23">
        <v>660.68799999999999</v>
      </c>
      <c r="AC17" s="23">
        <v>102.565</v>
      </c>
      <c r="AD17" s="23" t="s">
        <v>69</v>
      </c>
      <c r="AE17" s="23">
        <v>0.95899999999999996</v>
      </c>
      <c r="AF17" s="23">
        <v>4.8410000000000002</v>
      </c>
      <c r="AG17" s="23">
        <v>0.13600000000000001</v>
      </c>
      <c r="AH17" s="23">
        <v>3303.2259999999997</v>
      </c>
      <c r="AI17" s="23">
        <v>634.13</v>
      </c>
      <c r="AJ17" s="23">
        <v>80.701999999999998</v>
      </c>
      <c r="AK17" s="23">
        <v>127.471</v>
      </c>
      <c r="AL17" s="23" t="s">
        <v>69</v>
      </c>
    </row>
    <row r="18" spans="1:38" x14ac:dyDescent="0.25">
      <c r="A18" t="s">
        <v>193</v>
      </c>
      <c r="B18" s="23">
        <v>1818.6619334400002</v>
      </c>
      <c r="C18" s="23">
        <v>115.99498199000001</v>
      </c>
      <c r="D18" s="23">
        <v>3798.8333338900002</v>
      </c>
      <c r="E18" s="23">
        <v>1864.62148955</v>
      </c>
      <c r="F18" s="23" t="s">
        <v>69</v>
      </c>
      <c r="G18" s="23" t="s">
        <v>69</v>
      </c>
      <c r="H18" s="23" t="s">
        <v>69</v>
      </c>
      <c r="I18" s="23" t="s">
        <v>69</v>
      </c>
      <c r="J18" s="23">
        <v>343.57499999999999</v>
      </c>
      <c r="K18" s="23">
        <v>67.929999999999993</v>
      </c>
      <c r="L18" s="23">
        <v>50.15</v>
      </c>
      <c r="M18" s="23">
        <v>19.955000000000002</v>
      </c>
      <c r="N18" s="23">
        <v>50.597000000000008</v>
      </c>
      <c r="O18" s="23">
        <v>397.43965637000002</v>
      </c>
      <c r="P18" s="23">
        <v>115.40100000000001</v>
      </c>
      <c r="Q18" s="23">
        <v>1.62</v>
      </c>
      <c r="R18" s="23">
        <v>571.02699669000003</v>
      </c>
      <c r="S18" s="23">
        <v>192.0377234</v>
      </c>
      <c r="T18" s="23" t="s">
        <v>69</v>
      </c>
      <c r="U18" s="23" t="s">
        <v>69</v>
      </c>
      <c r="V18" s="23" t="s">
        <v>69</v>
      </c>
      <c r="W18" s="23">
        <v>86.300388800000007</v>
      </c>
      <c r="X18" s="23" t="s">
        <v>69</v>
      </c>
      <c r="Y18" s="23" t="s">
        <v>69</v>
      </c>
      <c r="Z18" s="23">
        <v>119.627</v>
      </c>
      <c r="AA18" s="23">
        <v>1.34238039</v>
      </c>
      <c r="AB18" s="23">
        <v>625.61400000000003</v>
      </c>
      <c r="AC18" s="23">
        <v>29.582000000000001</v>
      </c>
      <c r="AD18" s="23" t="s">
        <v>69</v>
      </c>
      <c r="AE18" s="23">
        <v>1.43</v>
      </c>
      <c r="AF18" s="23">
        <v>5.2030000000000003</v>
      </c>
      <c r="AG18" s="23">
        <v>8.7999999999999995E-2</v>
      </c>
      <c r="AH18" s="23">
        <v>3681.2379999999998</v>
      </c>
      <c r="AI18" s="23">
        <v>740.93900000000008</v>
      </c>
      <c r="AJ18" s="23">
        <v>74.548000000000002</v>
      </c>
      <c r="AK18" s="23">
        <v>144.41500000000002</v>
      </c>
      <c r="AL18" s="23" t="s">
        <v>69</v>
      </c>
    </row>
    <row r="19" spans="1:38" x14ac:dyDescent="0.25">
      <c r="A19" t="s">
        <v>80</v>
      </c>
      <c r="B19" s="23">
        <v>3027.6055819899998</v>
      </c>
      <c r="C19" s="23">
        <v>131.16273412999999</v>
      </c>
      <c r="D19" s="23">
        <v>3663.7810524999995</v>
      </c>
      <c r="E19" s="23">
        <v>1979.0087662400001</v>
      </c>
      <c r="F19" s="23" t="s">
        <v>69</v>
      </c>
      <c r="G19" s="23" t="s">
        <v>69</v>
      </c>
      <c r="H19" s="23" t="s">
        <v>69</v>
      </c>
      <c r="I19" s="23" t="s">
        <v>69</v>
      </c>
      <c r="J19" s="23">
        <v>321.76299999999998</v>
      </c>
      <c r="K19" s="23">
        <v>70.373999999999995</v>
      </c>
      <c r="L19" s="23">
        <v>49.915999999999997</v>
      </c>
      <c r="M19" s="23">
        <v>45.665999999999997</v>
      </c>
      <c r="N19" s="23">
        <v>48.743000000000002</v>
      </c>
      <c r="O19" s="23">
        <v>426.55522260999993</v>
      </c>
      <c r="P19" s="23">
        <v>137.99299999999999</v>
      </c>
      <c r="Q19" s="23">
        <v>6.6669999999999998</v>
      </c>
      <c r="R19" s="23">
        <v>565.88322247000008</v>
      </c>
      <c r="S19" s="23">
        <v>346.47091828999999</v>
      </c>
      <c r="T19" s="23" t="s">
        <v>69</v>
      </c>
      <c r="U19" s="23" t="s">
        <v>69</v>
      </c>
      <c r="V19" s="23" t="s">
        <v>69</v>
      </c>
      <c r="W19" s="23">
        <v>316.49308150000002</v>
      </c>
      <c r="X19" s="23" t="s">
        <v>69</v>
      </c>
      <c r="Y19" s="23" t="s">
        <v>69</v>
      </c>
      <c r="Z19" s="23">
        <v>100.306</v>
      </c>
      <c r="AA19" s="23">
        <v>16.943389759999999</v>
      </c>
      <c r="AB19" s="23">
        <v>689.029</v>
      </c>
      <c r="AC19" s="23">
        <v>17.513999999999999</v>
      </c>
      <c r="AD19" s="23" t="s">
        <v>69</v>
      </c>
      <c r="AE19" s="23">
        <v>1.47</v>
      </c>
      <c r="AF19" s="23">
        <v>4.17</v>
      </c>
      <c r="AG19" s="23">
        <v>0.53</v>
      </c>
      <c r="AH19" s="23">
        <v>3272.1259999999997</v>
      </c>
      <c r="AI19" s="23">
        <v>634.41800000000001</v>
      </c>
      <c r="AJ19" s="23">
        <v>47.467999999999996</v>
      </c>
      <c r="AK19" s="23">
        <v>132.25800000000001</v>
      </c>
      <c r="AL19" s="23" t="s">
        <v>69</v>
      </c>
    </row>
    <row r="20" spans="1:38" x14ac:dyDescent="0.25">
      <c r="A20" t="s">
        <v>194</v>
      </c>
      <c r="B20" s="23">
        <v>1935.1966662099999</v>
      </c>
      <c r="C20" s="23">
        <v>134.15286386</v>
      </c>
      <c r="D20" s="23">
        <v>3793.9371329300002</v>
      </c>
      <c r="E20" s="23">
        <v>2041.73302401</v>
      </c>
      <c r="F20" s="23" t="s">
        <v>69</v>
      </c>
      <c r="G20" s="23" t="s">
        <v>69</v>
      </c>
      <c r="H20" s="23" t="s">
        <v>69</v>
      </c>
      <c r="I20" s="23" t="s">
        <v>69</v>
      </c>
      <c r="J20" s="23">
        <v>325.69299999999998</v>
      </c>
      <c r="K20" s="23">
        <v>68.272999999999996</v>
      </c>
      <c r="L20" s="23">
        <v>53.123999999999995</v>
      </c>
      <c r="M20" s="23">
        <v>46.173999999999999</v>
      </c>
      <c r="N20" s="23">
        <v>48.063000000000002</v>
      </c>
      <c r="O20" s="23">
        <v>434.31770523</v>
      </c>
      <c r="P20" s="23">
        <v>125.79599999999999</v>
      </c>
      <c r="Q20" s="23">
        <v>4.8310000000000004</v>
      </c>
      <c r="R20" s="23">
        <v>571.46356939999998</v>
      </c>
      <c r="S20" s="23">
        <v>387.64710781000002</v>
      </c>
      <c r="T20" s="23" t="s">
        <v>69</v>
      </c>
      <c r="U20" s="23" t="s">
        <v>69</v>
      </c>
      <c r="V20" s="23" t="s">
        <v>69</v>
      </c>
      <c r="W20" s="23">
        <v>130.95990098999999</v>
      </c>
      <c r="X20" s="23" t="s">
        <v>69</v>
      </c>
      <c r="Y20" s="23" t="s">
        <v>69</v>
      </c>
      <c r="Z20" s="23">
        <v>118.452</v>
      </c>
      <c r="AA20" s="23">
        <v>8.8226835599999998</v>
      </c>
      <c r="AB20" s="23">
        <v>721.61500000000001</v>
      </c>
      <c r="AC20" s="23">
        <v>18.625</v>
      </c>
      <c r="AD20" s="23" t="s">
        <v>69</v>
      </c>
      <c r="AE20" s="23">
        <v>1.377</v>
      </c>
      <c r="AF20" s="23">
        <v>4.9180000000000001</v>
      </c>
      <c r="AG20" s="23">
        <v>6.4830000000000005</v>
      </c>
      <c r="AH20" s="23">
        <v>3770.4049999999997</v>
      </c>
      <c r="AI20" s="23">
        <v>743.78099999999995</v>
      </c>
      <c r="AJ20" s="23">
        <v>26.632999999999999</v>
      </c>
      <c r="AK20" s="23">
        <v>153.07599999999999</v>
      </c>
      <c r="AL20" s="23" t="s">
        <v>69</v>
      </c>
    </row>
    <row r="21" spans="1:38" x14ac:dyDescent="0.25">
      <c r="A21" t="s">
        <v>195</v>
      </c>
      <c r="B21" s="23">
        <v>2207.0758226799999</v>
      </c>
      <c r="C21" s="23">
        <v>118.70535194999999</v>
      </c>
      <c r="D21" s="23">
        <v>3637.7599595800002</v>
      </c>
      <c r="E21" s="23">
        <v>1810.27273429</v>
      </c>
      <c r="F21" s="23" t="s">
        <v>69</v>
      </c>
      <c r="G21" s="23" t="s">
        <v>69</v>
      </c>
      <c r="H21" s="23" t="s">
        <v>69</v>
      </c>
      <c r="I21" s="23" t="s">
        <v>69</v>
      </c>
      <c r="J21" s="23">
        <v>340.06600000000003</v>
      </c>
      <c r="K21" s="23">
        <v>65.912999999999997</v>
      </c>
      <c r="L21" s="23">
        <v>34.131999999999998</v>
      </c>
      <c r="M21" s="23">
        <v>39.022999999999996</v>
      </c>
      <c r="N21" s="23">
        <v>50.412999999999997</v>
      </c>
      <c r="O21" s="23">
        <v>474.27700819999995</v>
      </c>
      <c r="P21" s="23">
        <v>127.74299999999999</v>
      </c>
      <c r="Q21" s="23">
        <v>0.23200000000000001</v>
      </c>
      <c r="R21" s="23">
        <v>617.00684748000003</v>
      </c>
      <c r="S21" s="23">
        <v>440.92406880999999</v>
      </c>
      <c r="T21" s="23" t="s">
        <v>69</v>
      </c>
      <c r="U21" s="23" t="s">
        <v>69</v>
      </c>
      <c r="V21" s="23" t="s">
        <v>69</v>
      </c>
      <c r="W21" s="23">
        <v>238.45185134000002</v>
      </c>
      <c r="X21" s="23">
        <v>99.63</v>
      </c>
      <c r="Y21" s="23" t="s">
        <v>69</v>
      </c>
      <c r="Z21" s="23">
        <v>175.96242768500002</v>
      </c>
      <c r="AA21" s="23">
        <v>0.75799691000000002</v>
      </c>
      <c r="AB21" s="23">
        <v>657.74599999999998</v>
      </c>
      <c r="AC21" s="23">
        <v>16.201000000000001</v>
      </c>
      <c r="AD21" s="23" t="s">
        <v>69</v>
      </c>
      <c r="AE21" s="23">
        <v>1.2349999999999999</v>
      </c>
      <c r="AF21" s="23">
        <v>5.8220000000000001</v>
      </c>
      <c r="AG21" s="23">
        <v>5.2620000000000005</v>
      </c>
      <c r="AH21" s="23">
        <v>3271.16</v>
      </c>
      <c r="AI21" s="23">
        <v>630.37099999999998</v>
      </c>
      <c r="AJ21" s="23">
        <v>23.361000000000001</v>
      </c>
      <c r="AK21" s="23">
        <v>140.95500000000001</v>
      </c>
      <c r="AL21" s="23">
        <v>62.157000000000004</v>
      </c>
    </row>
    <row r="22" spans="1:38" x14ac:dyDescent="0.25">
      <c r="A22" t="s">
        <v>196</v>
      </c>
      <c r="B22" s="23">
        <v>1924.5280732199999</v>
      </c>
      <c r="C22" s="23">
        <v>97.76793649999999</v>
      </c>
      <c r="D22" s="23">
        <v>3803.9095685000002</v>
      </c>
      <c r="E22" s="23">
        <v>1472.4290041300001</v>
      </c>
      <c r="F22" s="23">
        <v>196.46479046000002</v>
      </c>
      <c r="G22" s="23" t="s">
        <v>69</v>
      </c>
      <c r="H22" s="23">
        <v>109.624</v>
      </c>
      <c r="I22" s="23" t="s">
        <v>69</v>
      </c>
      <c r="J22" s="23">
        <v>351.15999999999997</v>
      </c>
      <c r="K22" s="23">
        <v>67.588999999999999</v>
      </c>
      <c r="L22" s="23">
        <v>27.682000000000002</v>
      </c>
      <c r="M22" s="23">
        <v>36.522999999999996</v>
      </c>
      <c r="N22" s="23">
        <v>49.710999999999999</v>
      </c>
      <c r="O22" s="23">
        <v>443.38878769000002</v>
      </c>
      <c r="P22" s="23">
        <v>105.62899999999999</v>
      </c>
      <c r="Q22" s="23">
        <v>0.16499999999999998</v>
      </c>
      <c r="R22" s="23">
        <v>540.31503756000006</v>
      </c>
      <c r="S22" s="23">
        <v>250.19666728999999</v>
      </c>
      <c r="T22" s="23" t="s">
        <v>69</v>
      </c>
      <c r="U22" s="23" t="s">
        <v>69</v>
      </c>
      <c r="V22" s="23" t="s">
        <v>69</v>
      </c>
      <c r="W22" s="23">
        <v>17.96521791</v>
      </c>
      <c r="X22" s="23">
        <v>101.337</v>
      </c>
      <c r="Y22" s="23">
        <v>12.474</v>
      </c>
      <c r="Z22" s="23">
        <v>103.67499999999998</v>
      </c>
      <c r="AA22" s="23">
        <v>2.9188735399999999</v>
      </c>
      <c r="AB22" s="23">
        <v>543.10500000000002</v>
      </c>
      <c r="AC22" s="23">
        <v>15.145999999999999</v>
      </c>
      <c r="AD22" s="23" t="s">
        <v>69</v>
      </c>
      <c r="AE22" s="23">
        <v>0.91400000000000003</v>
      </c>
      <c r="AF22" s="23">
        <v>5.0529999999999999</v>
      </c>
      <c r="AG22" s="23">
        <v>3.8250000000000002</v>
      </c>
      <c r="AH22" s="23">
        <v>3738.8159999999998</v>
      </c>
      <c r="AI22" s="23">
        <v>753.97900000000004</v>
      </c>
      <c r="AJ22" s="23">
        <v>20.473999999999997</v>
      </c>
      <c r="AK22" s="23">
        <v>158.12700000000001</v>
      </c>
      <c r="AL22" s="23">
        <v>72.760999999999996</v>
      </c>
    </row>
    <row r="23" spans="1:38" x14ac:dyDescent="0.25">
      <c r="A23" t="s">
        <v>84</v>
      </c>
      <c r="B23" s="23">
        <v>2523.93268481</v>
      </c>
      <c r="C23" s="23">
        <v>97.762941359999999</v>
      </c>
      <c r="D23" s="23">
        <v>3579.7037755400002</v>
      </c>
      <c r="E23" s="23">
        <v>1499.2114399100001</v>
      </c>
      <c r="F23" s="23">
        <v>237.84624884000002</v>
      </c>
      <c r="G23" s="23" t="s">
        <v>69</v>
      </c>
      <c r="H23" s="23">
        <v>196.39400000000001</v>
      </c>
      <c r="I23" s="23" t="s">
        <v>69</v>
      </c>
      <c r="J23" s="23">
        <v>315.63200000000001</v>
      </c>
      <c r="K23" s="23">
        <v>73.195999999999998</v>
      </c>
      <c r="L23" s="23">
        <v>25.911999999999999</v>
      </c>
      <c r="M23" s="23">
        <v>34.343999999999994</v>
      </c>
      <c r="N23" s="23">
        <v>47.668999999999997</v>
      </c>
      <c r="O23" s="23">
        <v>516.75288722000005</v>
      </c>
      <c r="P23" s="23">
        <v>151.161</v>
      </c>
      <c r="Q23" s="23">
        <v>0.32300000000000001</v>
      </c>
      <c r="R23" s="23">
        <v>528.76748756999996</v>
      </c>
      <c r="S23" s="23">
        <v>379.93996980000003</v>
      </c>
      <c r="T23" s="23" t="s">
        <v>69</v>
      </c>
      <c r="U23" s="23" t="s">
        <v>69</v>
      </c>
      <c r="V23" s="23" t="s">
        <v>69</v>
      </c>
      <c r="W23" s="23">
        <v>205.65542796</v>
      </c>
      <c r="X23" s="23">
        <v>94.058999999999997</v>
      </c>
      <c r="Y23" s="23">
        <v>272.786</v>
      </c>
      <c r="Z23" s="23">
        <v>98.894000000000005</v>
      </c>
      <c r="AA23" s="23">
        <v>13.729826689999999</v>
      </c>
      <c r="AB23" s="23">
        <v>517.1</v>
      </c>
      <c r="AC23" s="23">
        <v>11.718999999999999</v>
      </c>
      <c r="AD23" s="23" t="s">
        <v>69</v>
      </c>
      <c r="AE23" s="23">
        <v>0.90500000000000003</v>
      </c>
      <c r="AF23" s="23">
        <v>5.4559999999999995</v>
      </c>
      <c r="AG23" s="23">
        <v>3.8209999999999997</v>
      </c>
      <c r="AH23" s="23">
        <v>2968.66</v>
      </c>
      <c r="AI23" s="23">
        <v>627.34400000000005</v>
      </c>
      <c r="AJ23" s="23">
        <v>13.808999999999999</v>
      </c>
      <c r="AK23" s="23">
        <v>142.33500000000001</v>
      </c>
      <c r="AL23" s="23">
        <v>66.454999999999998</v>
      </c>
    </row>
    <row r="24" spans="1:38" x14ac:dyDescent="0.25">
      <c r="A24" t="s">
        <v>197</v>
      </c>
      <c r="B24" s="23">
        <v>2143.6501001699999</v>
      </c>
      <c r="C24" s="23">
        <v>106.52494084</v>
      </c>
      <c r="D24" s="23">
        <v>3505.3157180899998</v>
      </c>
      <c r="E24" s="23">
        <v>1677.0245387800001</v>
      </c>
      <c r="F24" s="23">
        <v>153.44500595</v>
      </c>
      <c r="G24" s="23" t="s">
        <v>69</v>
      </c>
      <c r="H24" s="23">
        <v>192.49100000000001</v>
      </c>
      <c r="I24" s="23" t="s">
        <v>69</v>
      </c>
      <c r="J24" s="23">
        <v>324.51499999999999</v>
      </c>
      <c r="K24" s="23">
        <v>59.027000000000001</v>
      </c>
      <c r="L24" s="23">
        <v>30.858999999999998</v>
      </c>
      <c r="M24" s="23">
        <v>35.894000000000005</v>
      </c>
      <c r="N24" s="23">
        <v>45.561</v>
      </c>
      <c r="O24" s="23">
        <v>475.70530823000001</v>
      </c>
      <c r="P24" s="23">
        <v>140.12700000000001</v>
      </c>
      <c r="Q24" s="23">
        <v>1.0780000000000001</v>
      </c>
      <c r="R24" s="23">
        <v>528.25449034999997</v>
      </c>
      <c r="S24" s="23">
        <v>355.55283516999998</v>
      </c>
      <c r="T24" s="23" t="s">
        <v>69</v>
      </c>
      <c r="U24" s="23" t="s">
        <v>69</v>
      </c>
      <c r="V24" s="23" t="s">
        <v>69</v>
      </c>
      <c r="W24" s="23">
        <v>120.67179478999999</v>
      </c>
      <c r="X24" s="23">
        <v>96.77</v>
      </c>
      <c r="Y24" s="23">
        <v>56.173000000000002</v>
      </c>
      <c r="Z24" s="23">
        <v>113.02099999999999</v>
      </c>
      <c r="AA24" s="23">
        <v>7.8975844100000003</v>
      </c>
      <c r="AB24" s="23">
        <v>573.79100000000005</v>
      </c>
      <c r="AC24" s="23">
        <v>11.225000000000001</v>
      </c>
      <c r="AD24" s="23" t="s">
        <v>69</v>
      </c>
      <c r="AE24" s="23">
        <v>1.18</v>
      </c>
      <c r="AF24" s="23">
        <v>8.1359999999999992</v>
      </c>
      <c r="AG24" s="23">
        <v>4.5910000000000002</v>
      </c>
      <c r="AH24" s="23">
        <v>3397.2829999999999</v>
      </c>
      <c r="AI24" s="23">
        <v>713.43299999999999</v>
      </c>
      <c r="AJ24" s="23">
        <v>6.8360000000000003</v>
      </c>
      <c r="AK24" s="23">
        <v>157.37899999999999</v>
      </c>
      <c r="AL24" s="23">
        <v>69.396999999999991</v>
      </c>
    </row>
    <row r="25" spans="1:38" x14ac:dyDescent="0.25">
      <c r="A25" t="s">
        <v>198</v>
      </c>
      <c r="B25" s="23">
        <v>2231.7790098099999</v>
      </c>
      <c r="C25" s="23">
        <v>114.02197336</v>
      </c>
      <c r="D25" s="23">
        <v>3484.8492420299999</v>
      </c>
      <c r="E25" s="23">
        <v>1716.4392205200002</v>
      </c>
      <c r="F25" s="23">
        <v>151.96165034999999</v>
      </c>
      <c r="G25" s="23" t="s">
        <v>69</v>
      </c>
      <c r="H25" s="23">
        <v>196.28399999999999</v>
      </c>
      <c r="I25" s="23" t="s">
        <v>69</v>
      </c>
      <c r="J25" s="23">
        <v>336.71199999999999</v>
      </c>
      <c r="K25" s="23">
        <v>55.507000000000005</v>
      </c>
      <c r="L25" s="23">
        <v>13.3</v>
      </c>
      <c r="M25" s="23">
        <v>40.324999999999996</v>
      </c>
      <c r="N25" s="23">
        <v>55.797834035000108</v>
      </c>
      <c r="O25" s="23">
        <v>531.99934217999999</v>
      </c>
      <c r="P25" s="23">
        <v>175.57400000000001</v>
      </c>
      <c r="Q25" s="23">
        <v>5.0999999999999997E-2</v>
      </c>
      <c r="R25" s="23">
        <v>579.17302321</v>
      </c>
      <c r="S25" s="23">
        <v>425.67529751999996</v>
      </c>
      <c r="T25" s="23" t="s">
        <v>69</v>
      </c>
      <c r="U25" s="23" t="s">
        <v>69</v>
      </c>
      <c r="V25" s="23" t="s">
        <v>69</v>
      </c>
      <c r="W25" s="23">
        <v>201.24005460999999</v>
      </c>
      <c r="X25" s="23">
        <v>93.242999999999995</v>
      </c>
      <c r="Y25" s="23">
        <v>31.793000000000003</v>
      </c>
      <c r="Z25" s="23">
        <v>103.78400000000001</v>
      </c>
      <c r="AA25" s="23">
        <v>0.53268150000000003</v>
      </c>
      <c r="AB25" s="23">
        <v>593.16100000000006</v>
      </c>
      <c r="AC25" s="23">
        <v>12.498000000000001</v>
      </c>
      <c r="AD25" s="23" t="s">
        <v>69</v>
      </c>
      <c r="AE25" s="23">
        <v>0.91799999999999993</v>
      </c>
      <c r="AF25" s="23">
        <v>6.4420000000000002</v>
      </c>
      <c r="AG25" s="23">
        <v>1.7790000000000001</v>
      </c>
      <c r="AH25" s="23">
        <v>2850.84</v>
      </c>
      <c r="AI25" s="23">
        <v>628.26499999999999</v>
      </c>
      <c r="AJ25" s="23">
        <v>5.3070000000000004</v>
      </c>
      <c r="AK25" s="23">
        <v>149.00299999999999</v>
      </c>
      <c r="AL25" s="23">
        <v>67.646000000000001</v>
      </c>
    </row>
    <row r="26" spans="1:38" x14ac:dyDescent="0.25">
      <c r="A26" t="s">
        <v>199</v>
      </c>
      <c r="B26" s="23">
        <v>2043.1381609600001</v>
      </c>
      <c r="C26" s="23">
        <v>98.763228519999998</v>
      </c>
      <c r="D26" s="23">
        <v>3606.08040003</v>
      </c>
      <c r="E26" s="23">
        <v>1413.6772412800001</v>
      </c>
      <c r="F26" s="23">
        <v>145.71388630999999</v>
      </c>
      <c r="G26" s="23" t="s">
        <v>69</v>
      </c>
      <c r="H26" s="23">
        <v>221.41399999999999</v>
      </c>
      <c r="I26" s="23" t="s">
        <v>69</v>
      </c>
      <c r="J26" s="23">
        <v>312.97299999999996</v>
      </c>
      <c r="K26" s="23">
        <v>55.646999999999998</v>
      </c>
      <c r="L26" s="23">
        <v>3.7819999999999996</v>
      </c>
      <c r="M26" s="23">
        <v>75.329000000000008</v>
      </c>
      <c r="N26" s="23">
        <v>120.51500000000001</v>
      </c>
      <c r="O26" s="23">
        <v>374.88256440000004</v>
      </c>
      <c r="P26" s="23">
        <v>141.934</v>
      </c>
      <c r="Q26" s="23">
        <v>95.3</v>
      </c>
      <c r="R26" s="23">
        <v>541.19764485999997</v>
      </c>
      <c r="S26" s="23">
        <v>244.58692197000002</v>
      </c>
      <c r="T26" s="23" t="s">
        <v>69</v>
      </c>
      <c r="U26" s="23" t="s">
        <v>69</v>
      </c>
      <c r="V26" s="23" t="s">
        <v>69</v>
      </c>
      <c r="W26" s="23">
        <v>109.09886086</v>
      </c>
      <c r="X26" s="23">
        <v>95.248999999999995</v>
      </c>
      <c r="Y26" s="23">
        <v>49.406999999999996</v>
      </c>
      <c r="Z26" s="23">
        <v>118.238</v>
      </c>
      <c r="AA26" s="23">
        <v>2.0698873199999999</v>
      </c>
      <c r="AB26" s="23">
        <v>491.649</v>
      </c>
      <c r="AC26" s="23">
        <v>9.7720000000000002</v>
      </c>
      <c r="AD26" s="23" t="s">
        <v>69</v>
      </c>
      <c r="AE26" s="23">
        <v>0.77400000000000002</v>
      </c>
      <c r="AF26" s="23">
        <v>5.3619999999999992</v>
      </c>
      <c r="AG26" s="23">
        <v>4.8659999999999997</v>
      </c>
      <c r="AH26" s="23">
        <v>3343.3470480099995</v>
      </c>
      <c r="AI26" s="23">
        <v>773.35599999999999</v>
      </c>
      <c r="AJ26" s="23" t="s">
        <v>69</v>
      </c>
      <c r="AK26" s="23">
        <v>164.01900000000001</v>
      </c>
      <c r="AL26" s="23">
        <v>73.37700000000001</v>
      </c>
    </row>
    <row r="27" spans="1:38" x14ac:dyDescent="0.25">
      <c r="A27" t="s">
        <v>88</v>
      </c>
      <c r="B27" s="23">
        <v>3223.2389318199994</v>
      </c>
      <c r="C27" s="23">
        <v>101.53831595</v>
      </c>
      <c r="D27" s="23">
        <v>3631.8804723599997</v>
      </c>
      <c r="E27" s="23">
        <v>1485.1573856099999</v>
      </c>
      <c r="F27" s="23">
        <v>151.87705184999999</v>
      </c>
      <c r="G27" s="23" t="s">
        <v>69</v>
      </c>
      <c r="H27" s="23">
        <v>221.95999999999998</v>
      </c>
      <c r="I27" s="23">
        <v>78.275000000000006</v>
      </c>
      <c r="J27" s="23">
        <v>280.36599999999999</v>
      </c>
      <c r="K27" s="23">
        <v>55.807000000000002</v>
      </c>
      <c r="L27" s="23">
        <v>4.67</v>
      </c>
      <c r="M27" s="23">
        <v>76.805999999999997</v>
      </c>
      <c r="N27" s="23">
        <v>155.58100000000002</v>
      </c>
      <c r="O27" s="23">
        <v>299.66500565000001</v>
      </c>
      <c r="P27" s="23">
        <v>145.863</v>
      </c>
      <c r="Q27" s="23">
        <v>182.2</v>
      </c>
      <c r="R27" s="23">
        <v>539.33888158000002</v>
      </c>
      <c r="S27" s="23">
        <v>339.04395758999999</v>
      </c>
      <c r="T27" s="23" t="s">
        <v>69</v>
      </c>
      <c r="U27" s="23" t="s">
        <v>69</v>
      </c>
      <c r="V27" s="23" t="s">
        <v>69</v>
      </c>
      <c r="W27" s="23">
        <v>350.03305361999998</v>
      </c>
      <c r="X27" s="23">
        <v>87.626999999999995</v>
      </c>
      <c r="Y27" s="23">
        <v>9.2409999999999997</v>
      </c>
      <c r="Z27" s="23">
        <v>110.102</v>
      </c>
      <c r="AA27" s="23">
        <v>21.928423900000002</v>
      </c>
      <c r="AB27" s="23">
        <v>476.94299999999998</v>
      </c>
      <c r="AC27" s="23">
        <v>9.4280000000000008</v>
      </c>
      <c r="AD27" s="23" t="s">
        <v>69</v>
      </c>
      <c r="AE27" s="23">
        <v>0.67500000000000004</v>
      </c>
      <c r="AF27" s="23">
        <v>7.8529999999999998</v>
      </c>
      <c r="AG27" s="23">
        <v>4.657</v>
      </c>
      <c r="AH27" s="23">
        <v>2905.02124852</v>
      </c>
      <c r="AI27" s="23">
        <v>637.21399999999994</v>
      </c>
      <c r="AJ27" s="23">
        <v>59.547999999999995</v>
      </c>
      <c r="AK27" s="23">
        <v>148.87899999999999</v>
      </c>
      <c r="AL27" s="23">
        <v>82.239000000000004</v>
      </c>
    </row>
    <row r="28" spans="1:38" x14ac:dyDescent="0.25">
      <c r="A28" t="s">
        <v>200</v>
      </c>
      <c r="B28" s="23">
        <v>2328.8419336500001</v>
      </c>
      <c r="C28" s="23">
        <v>105.78116476000001</v>
      </c>
      <c r="D28" s="23">
        <v>3697.41895393</v>
      </c>
      <c r="E28" s="23">
        <v>1579.9232368</v>
      </c>
      <c r="F28" s="23">
        <v>138.20068222999998</v>
      </c>
      <c r="G28" s="23" t="s">
        <v>69</v>
      </c>
      <c r="H28" s="23">
        <v>209.422</v>
      </c>
      <c r="I28" s="23">
        <v>57.316000000000003</v>
      </c>
      <c r="J28" s="23">
        <v>300.50099999999998</v>
      </c>
      <c r="K28" s="23">
        <v>46.965000000000003</v>
      </c>
      <c r="L28" s="23">
        <v>4.0939999999999994</v>
      </c>
      <c r="M28" s="23">
        <v>78.578000000000003</v>
      </c>
      <c r="N28" s="23">
        <v>109.69399999999999</v>
      </c>
      <c r="O28" s="23">
        <v>340.11836306999999</v>
      </c>
      <c r="P28" s="23">
        <v>152.39499999999998</v>
      </c>
      <c r="Q28" s="23">
        <v>3.5999999999999997E-2</v>
      </c>
      <c r="R28" s="23">
        <v>542.09109760999991</v>
      </c>
      <c r="S28" s="23">
        <v>367.65305673</v>
      </c>
      <c r="T28" s="23" t="s">
        <v>69</v>
      </c>
      <c r="U28" s="23" t="s">
        <v>69</v>
      </c>
      <c r="V28" s="23" t="s">
        <v>69</v>
      </c>
      <c r="W28" s="23">
        <v>248.31868952999997</v>
      </c>
      <c r="X28" s="23">
        <v>85.244</v>
      </c>
      <c r="Y28" s="23">
        <v>5.8970000000000002</v>
      </c>
      <c r="Z28" s="23">
        <v>112.13800000000001</v>
      </c>
      <c r="AA28" s="23">
        <v>6.3077857799999997</v>
      </c>
      <c r="AB28" s="23">
        <v>493.79399999999998</v>
      </c>
      <c r="AC28" s="23">
        <v>9.52</v>
      </c>
      <c r="AD28" s="23" t="s">
        <v>69</v>
      </c>
      <c r="AE28" s="23">
        <v>1.018</v>
      </c>
      <c r="AF28" s="23">
        <v>10.620000000000001</v>
      </c>
      <c r="AG28" s="23">
        <v>4.76</v>
      </c>
      <c r="AH28" s="23">
        <v>3383.1977779200001</v>
      </c>
      <c r="AI28" s="23">
        <v>708.26599999999996</v>
      </c>
      <c r="AJ28" s="23">
        <v>-45.943999999999996</v>
      </c>
      <c r="AK28" s="23">
        <v>156.81800000000001</v>
      </c>
      <c r="AL28" s="23">
        <v>83.495999999999995</v>
      </c>
    </row>
    <row r="29" spans="1:38" x14ac:dyDescent="0.25">
      <c r="A29" t="s">
        <v>201</v>
      </c>
      <c r="B29" s="23">
        <v>2452.9631405299997</v>
      </c>
      <c r="C29" s="23">
        <v>100.87982883999999</v>
      </c>
      <c r="D29" s="23">
        <v>3487.8999999999996</v>
      </c>
      <c r="E29" s="23">
        <v>1573.1999999999998</v>
      </c>
      <c r="F29" s="23">
        <v>164.36332765999998</v>
      </c>
      <c r="G29" s="23" t="s">
        <v>69</v>
      </c>
      <c r="H29" s="23">
        <v>202.31799999999998</v>
      </c>
      <c r="I29" s="23">
        <v>11.001000000000001</v>
      </c>
      <c r="J29" s="23">
        <v>325.37800000000004</v>
      </c>
      <c r="K29" s="23">
        <v>35.686999999999998</v>
      </c>
      <c r="L29" s="23">
        <v>3.0579999999999998</v>
      </c>
      <c r="M29" s="23">
        <v>78.506999999999991</v>
      </c>
      <c r="N29" s="23">
        <v>101.465</v>
      </c>
      <c r="O29" s="23">
        <v>452.1</v>
      </c>
      <c r="P29" s="23">
        <v>142.13900000000001</v>
      </c>
      <c r="Q29" s="23">
        <v>1.2999999999999999E-2</v>
      </c>
      <c r="R29" s="23">
        <v>531.00065866</v>
      </c>
      <c r="S29" s="23">
        <v>373.30232562999987</v>
      </c>
      <c r="T29" s="23" t="s">
        <v>69</v>
      </c>
      <c r="U29" s="23" t="s">
        <v>69</v>
      </c>
      <c r="V29" s="23" t="s">
        <v>69</v>
      </c>
      <c r="W29" s="23">
        <v>316.86115083999999</v>
      </c>
      <c r="X29" s="23">
        <v>85.432999999999993</v>
      </c>
      <c r="Y29" s="23">
        <v>4.7160000000000002</v>
      </c>
      <c r="Z29" s="23">
        <v>115.46299999999999</v>
      </c>
      <c r="AA29" s="23">
        <v>1.7663463399999999</v>
      </c>
      <c r="AB29" s="23">
        <v>475.45299999999997</v>
      </c>
      <c r="AC29" s="23">
        <v>9.6920000000000002</v>
      </c>
      <c r="AD29" s="23" t="s">
        <v>69</v>
      </c>
      <c r="AE29" s="23">
        <v>0.751</v>
      </c>
      <c r="AF29" s="23">
        <v>5.6240000000000006</v>
      </c>
      <c r="AG29" s="23">
        <v>3.3410000000000002</v>
      </c>
      <c r="AH29" s="23">
        <v>2863.6015417099998</v>
      </c>
      <c r="AI29" s="23">
        <v>603.91300000000001</v>
      </c>
      <c r="AJ29" s="23">
        <v>2.0579999999999927</v>
      </c>
      <c r="AK29" s="23">
        <v>144.97899999999998</v>
      </c>
      <c r="AL29" s="23">
        <v>82.498000000000005</v>
      </c>
    </row>
    <row r="30" spans="1:38" x14ac:dyDescent="0.25">
      <c r="A30" t="s">
        <v>202</v>
      </c>
      <c r="B30" s="23">
        <v>2213.2817484300003</v>
      </c>
      <c r="C30" s="23">
        <v>87.323240890000008</v>
      </c>
      <c r="D30" s="23">
        <v>3514.7168471599998</v>
      </c>
      <c r="E30" s="23">
        <v>1328.3538781399998</v>
      </c>
      <c r="F30" s="23">
        <v>153.12023937999999</v>
      </c>
      <c r="G30" s="23" t="s">
        <v>69</v>
      </c>
      <c r="H30" s="23">
        <v>156.17599999999999</v>
      </c>
      <c r="I30" s="23">
        <v>1.8208299999999999</v>
      </c>
      <c r="J30" s="23">
        <v>376.33600000000001</v>
      </c>
      <c r="K30" s="23">
        <v>35.679000000000002</v>
      </c>
      <c r="L30" s="23">
        <v>3.5280000000000005</v>
      </c>
      <c r="M30" s="23">
        <v>89.649000000000001</v>
      </c>
      <c r="N30" s="23">
        <v>86.231999999999999</v>
      </c>
      <c r="O30" s="23">
        <v>440.62250951999999</v>
      </c>
      <c r="P30" s="23">
        <v>164.34799999999998</v>
      </c>
      <c r="Q30" s="23">
        <v>-2.3E-3</v>
      </c>
      <c r="R30" s="23">
        <v>487.01269997999998</v>
      </c>
      <c r="S30" s="23">
        <v>267.34644537999998</v>
      </c>
      <c r="T30" s="23" t="s">
        <v>69</v>
      </c>
      <c r="U30" s="23" t="s">
        <v>69</v>
      </c>
      <c r="V30" s="23" t="s">
        <v>69</v>
      </c>
      <c r="W30" s="23">
        <v>168.74189737</v>
      </c>
      <c r="X30" s="23">
        <v>86.016999999999996</v>
      </c>
      <c r="Y30" s="23">
        <v>5.569</v>
      </c>
      <c r="Z30" s="23">
        <v>110.732</v>
      </c>
      <c r="AA30" s="23">
        <v>0.27813622000000005</v>
      </c>
      <c r="AB30" s="23">
        <v>444.09800000000007</v>
      </c>
      <c r="AC30" s="23">
        <v>9.6940000000000008</v>
      </c>
      <c r="AD30" s="23" t="s">
        <v>69</v>
      </c>
      <c r="AE30" s="23">
        <v>0.52</v>
      </c>
      <c r="AF30" s="23">
        <v>4.5280000000000005</v>
      </c>
      <c r="AG30" s="23">
        <v>1.7829999999999999</v>
      </c>
      <c r="AH30" s="23">
        <v>3331.0302577100001</v>
      </c>
      <c r="AI30" s="23">
        <v>681.50299999999993</v>
      </c>
      <c r="AJ30" s="23">
        <v>-2.382000000000005</v>
      </c>
      <c r="AK30" s="23">
        <v>175.93</v>
      </c>
      <c r="AL30" s="23">
        <v>85.063999999999993</v>
      </c>
    </row>
    <row r="31" spans="1:38" x14ac:dyDescent="0.25">
      <c r="A31" t="s">
        <v>92</v>
      </c>
      <c r="B31" s="23">
        <v>3392.09517628</v>
      </c>
      <c r="C31" s="23">
        <v>89.095841820000004</v>
      </c>
      <c r="D31" s="23">
        <v>3257.5155999900003</v>
      </c>
      <c r="E31" s="23">
        <v>1352.7213128600001</v>
      </c>
      <c r="F31" s="23">
        <v>159.96567063000003</v>
      </c>
      <c r="G31" s="23">
        <v>759.44354154000007</v>
      </c>
      <c r="H31" s="23">
        <v>127.792</v>
      </c>
      <c r="I31" s="23">
        <v>2.8450000000000002</v>
      </c>
      <c r="J31" s="23">
        <v>445.21000000000004</v>
      </c>
      <c r="K31" s="23">
        <v>38.198999999999998</v>
      </c>
      <c r="L31" s="23">
        <v>6.081999999999999</v>
      </c>
      <c r="M31" s="23">
        <v>74.344999999999999</v>
      </c>
      <c r="N31" s="23">
        <v>45.594000000000001</v>
      </c>
      <c r="O31" s="23">
        <v>420.41145517999996</v>
      </c>
      <c r="P31" s="23">
        <v>141.37299999999999</v>
      </c>
      <c r="Q31" s="23">
        <v>2.1000000000000001E-2</v>
      </c>
      <c r="R31" s="23">
        <v>456.94775020999998</v>
      </c>
      <c r="S31" s="23">
        <v>347.74397255999997</v>
      </c>
      <c r="T31" s="23" t="s">
        <v>69</v>
      </c>
      <c r="U31" s="23" t="s">
        <v>69</v>
      </c>
      <c r="V31" s="23" t="s">
        <v>69</v>
      </c>
      <c r="W31" s="23">
        <v>228.15087158</v>
      </c>
      <c r="X31" s="23">
        <v>79.908000000000001</v>
      </c>
      <c r="Y31" s="23">
        <v>3.3260000000000001</v>
      </c>
      <c r="Z31" s="23">
        <v>97.932999999999993</v>
      </c>
      <c r="AA31" s="23">
        <v>20.23271969</v>
      </c>
      <c r="AB31" s="23">
        <v>442.8</v>
      </c>
      <c r="AC31" s="23">
        <v>9.4819999999999993</v>
      </c>
      <c r="AD31" s="23" t="s">
        <v>69</v>
      </c>
      <c r="AE31" s="23">
        <v>0.30399999999999999</v>
      </c>
      <c r="AF31" s="23">
        <v>4.2140000000000004</v>
      </c>
      <c r="AG31" s="23">
        <v>37.702999999999996</v>
      </c>
      <c r="AH31" s="23">
        <v>2737.23399139</v>
      </c>
      <c r="AI31" s="23">
        <v>626.625</v>
      </c>
      <c r="AJ31" s="23">
        <v>-19.552</v>
      </c>
      <c r="AK31" s="23">
        <v>194.36700000000002</v>
      </c>
      <c r="AL31" s="23">
        <v>80.467000000000013</v>
      </c>
    </row>
    <row r="32" spans="1:38" x14ac:dyDescent="0.25">
      <c r="A32" t="s">
        <v>203</v>
      </c>
      <c r="B32" s="23">
        <v>2139.3833417000001</v>
      </c>
      <c r="C32" s="23">
        <v>83.048790550000007</v>
      </c>
      <c r="D32" s="23">
        <v>3027.1945373099998</v>
      </c>
      <c r="E32" s="23">
        <v>1173.96810407</v>
      </c>
      <c r="F32" s="23">
        <v>118.90460368999999</v>
      </c>
      <c r="G32" s="23">
        <v>1100.5999999999999</v>
      </c>
      <c r="H32" s="23">
        <v>102.992</v>
      </c>
      <c r="I32" s="23">
        <v>1.6839999999999999</v>
      </c>
      <c r="J32" s="23">
        <v>250.25200000000001</v>
      </c>
      <c r="K32" s="23">
        <v>24.542000000000002</v>
      </c>
      <c r="L32" s="23">
        <v>7.1000000000000008E-2</v>
      </c>
      <c r="M32" s="23">
        <v>65.253</v>
      </c>
      <c r="N32" s="23">
        <v>47.62</v>
      </c>
      <c r="O32" s="23">
        <v>436.86312510999994</v>
      </c>
      <c r="P32" s="23">
        <v>122.812</v>
      </c>
      <c r="Q32" s="23">
        <v>-3.0000000000000001E-3</v>
      </c>
      <c r="R32" s="23">
        <v>444.47847897999998</v>
      </c>
      <c r="S32" s="23">
        <v>537.44702616999996</v>
      </c>
      <c r="T32" s="23" t="s">
        <v>69</v>
      </c>
      <c r="U32" s="23" t="s">
        <v>69</v>
      </c>
      <c r="V32" s="23" t="s">
        <v>69</v>
      </c>
      <c r="W32" s="23">
        <v>147.19999999999999</v>
      </c>
      <c r="X32" s="23">
        <v>74.376000000000005</v>
      </c>
      <c r="Y32" s="23">
        <v>3.052</v>
      </c>
      <c r="Z32" s="23">
        <v>90.186999999999998</v>
      </c>
      <c r="AA32" s="23">
        <v>23.371586800000003</v>
      </c>
      <c r="AB32" s="23">
        <v>366.18</v>
      </c>
      <c r="AC32" s="23">
        <v>8.423</v>
      </c>
      <c r="AD32" s="23" t="s">
        <v>69</v>
      </c>
      <c r="AE32" s="23">
        <v>0.30199999999999999</v>
      </c>
      <c r="AF32" s="23">
        <v>4.8380000000000001</v>
      </c>
      <c r="AG32" s="23">
        <v>8.7659999999999982</v>
      </c>
      <c r="AH32" s="23">
        <v>3128.4255807700001</v>
      </c>
      <c r="AI32" s="23">
        <v>636.90700000000004</v>
      </c>
      <c r="AJ32" s="23">
        <v>3.0229999999999997</v>
      </c>
      <c r="AK32" s="23">
        <v>200.214</v>
      </c>
      <c r="AL32" s="23">
        <v>75.388999999999996</v>
      </c>
    </row>
    <row r="33" spans="1:38" x14ac:dyDescent="0.25">
      <c r="A33" t="s">
        <v>204</v>
      </c>
      <c r="B33" s="23">
        <v>2027.17812712</v>
      </c>
      <c r="C33" s="23">
        <v>59.896716259999998</v>
      </c>
      <c r="D33" s="23">
        <v>2596.5780018400001</v>
      </c>
      <c r="E33" s="23">
        <v>873.06324902000006</v>
      </c>
      <c r="F33" s="23">
        <v>118.06095515000001</v>
      </c>
      <c r="G33" s="23">
        <v>1072.9313731699999</v>
      </c>
      <c r="H33" s="23">
        <v>57.745999999999995</v>
      </c>
      <c r="I33" s="23">
        <v>1.694</v>
      </c>
      <c r="J33" s="23">
        <v>263.94600000000003</v>
      </c>
      <c r="K33" s="23">
        <v>17.343</v>
      </c>
      <c r="L33" s="23">
        <v>1E-3</v>
      </c>
      <c r="M33" s="23">
        <v>56.254000000000005</v>
      </c>
      <c r="N33" s="23">
        <v>46.405999999999992</v>
      </c>
      <c r="O33" s="23">
        <v>475.23158685999999</v>
      </c>
      <c r="P33" s="23">
        <v>103.21100000000001</v>
      </c>
      <c r="Q33" s="23">
        <v>0</v>
      </c>
      <c r="R33" s="23">
        <v>432.39318875999993</v>
      </c>
      <c r="S33" s="23">
        <v>446.25700211000003</v>
      </c>
      <c r="T33" s="23" t="s">
        <v>69</v>
      </c>
      <c r="U33" s="23" t="s">
        <v>69</v>
      </c>
      <c r="V33" s="23" t="s">
        <v>69</v>
      </c>
      <c r="W33" s="23">
        <v>225.24028276999999</v>
      </c>
      <c r="X33" s="23">
        <v>62.052999999999997</v>
      </c>
      <c r="Y33" s="23">
        <v>2.3069999999999999</v>
      </c>
      <c r="Z33" s="23">
        <v>73.966999999999999</v>
      </c>
      <c r="AA33" s="23">
        <v>8.4654247500000004</v>
      </c>
      <c r="AB33" s="23">
        <v>287.404</v>
      </c>
      <c r="AC33" s="23">
        <v>6.819</v>
      </c>
      <c r="AD33" s="23" t="s">
        <v>69</v>
      </c>
      <c r="AE33" s="23">
        <v>0.32200000000000001</v>
      </c>
      <c r="AF33" s="23">
        <v>3.4690000000000003</v>
      </c>
      <c r="AG33" s="23">
        <v>-17.639999999999997</v>
      </c>
      <c r="AH33" s="23">
        <v>2314.0202714699999</v>
      </c>
      <c r="AI33" s="23">
        <v>538.46199999999999</v>
      </c>
      <c r="AJ33" s="23">
        <v>42.152000000000001</v>
      </c>
      <c r="AK33" s="23">
        <v>166.17599999999999</v>
      </c>
      <c r="AL33" s="23">
        <v>63.369</v>
      </c>
    </row>
    <row r="34" spans="1:38" x14ac:dyDescent="0.25">
      <c r="A34" t="s">
        <v>205</v>
      </c>
      <c r="B34" s="23">
        <v>1527.95812561</v>
      </c>
      <c r="C34" s="23">
        <v>43.76008203</v>
      </c>
      <c r="D34" s="23">
        <v>2592.3508054200001</v>
      </c>
      <c r="E34" s="23">
        <v>644.66618607999999</v>
      </c>
      <c r="F34" s="23">
        <v>102.03980751</v>
      </c>
      <c r="G34" s="23">
        <v>977.59999999999991</v>
      </c>
      <c r="H34" s="23">
        <v>29.398</v>
      </c>
      <c r="I34" s="23">
        <v>1.2310000000000001</v>
      </c>
      <c r="J34" s="23">
        <v>328.88099999999997</v>
      </c>
      <c r="K34" s="23">
        <v>16.882000000000001</v>
      </c>
      <c r="L34" s="23" t="s">
        <v>69</v>
      </c>
      <c r="M34" s="23">
        <v>66.635000000000005</v>
      </c>
      <c r="N34" s="23">
        <v>51.238</v>
      </c>
      <c r="O34" s="23">
        <v>165.28953991999998</v>
      </c>
      <c r="P34" s="23">
        <v>121.705</v>
      </c>
      <c r="Q34" s="23">
        <v>0.14899999999999999</v>
      </c>
      <c r="R34" s="23">
        <v>397.14056764000003</v>
      </c>
      <c r="S34" s="23">
        <v>351.93039053999996</v>
      </c>
      <c r="T34" s="23">
        <v>132.48699999999999</v>
      </c>
      <c r="U34" s="23">
        <v>46.640999999999998</v>
      </c>
      <c r="V34" s="23" t="s">
        <v>69</v>
      </c>
      <c r="W34" s="23">
        <v>117.60000000000001</v>
      </c>
      <c r="X34" s="23">
        <v>50.257999999999996</v>
      </c>
      <c r="Y34" s="23">
        <v>1.8540000000000001</v>
      </c>
      <c r="Z34" s="23">
        <v>65.84</v>
      </c>
      <c r="AA34" s="23">
        <v>102.36880765000001</v>
      </c>
      <c r="AB34" s="23">
        <v>201.71100000000001</v>
      </c>
      <c r="AC34" s="23">
        <v>5.8040000000000003</v>
      </c>
      <c r="AD34" s="23">
        <v>-6.4029999999999987</v>
      </c>
      <c r="AE34" s="23">
        <v>0.64600000000000002</v>
      </c>
      <c r="AF34" s="23">
        <v>3.4060000000000006</v>
      </c>
      <c r="AG34" s="23">
        <v>1.734</v>
      </c>
      <c r="AH34" s="23">
        <v>2248.9337785900002</v>
      </c>
      <c r="AI34" s="23">
        <v>574.96900000000005</v>
      </c>
      <c r="AJ34" s="23">
        <v>55.816000000000003</v>
      </c>
      <c r="AK34" s="23">
        <v>163.01799999999997</v>
      </c>
      <c r="AL34" s="23">
        <v>53.319999999999993</v>
      </c>
    </row>
    <row r="35" spans="1:38" x14ac:dyDescent="0.25">
      <c r="A35" t="s">
        <v>96</v>
      </c>
      <c r="B35" s="23">
        <v>2085.02028733</v>
      </c>
      <c r="C35" s="23">
        <v>73.870473680000003</v>
      </c>
      <c r="D35" s="23">
        <v>3105.1722029399998</v>
      </c>
      <c r="E35" s="23">
        <v>1210.3664909899999</v>
      </c>
      <c r="F35" s="23">
        <v>111.30117762</v>
      </c>
      <c r="G35" s="23">
        <v>1237.6000000000001</v>
      </c>
      <c r="H35" s="23">
        <v>21.079000000000001</v>
      </c>
      <c r="I35" s="23">
        <v>0.184</v>
      </c>
      <c r="J35" s="23">
        <v>339.38499999999999</v>
      </c>
      <c r="K35" s="23">
        <v>21.169999999999998</v>
      </c>
      <c r="L35" s="23" t="s">
        <v>69</v>
      </c>
      <c r="M35" s="23">
        <v>66.086999999999989</v>
      </c>
      <c r="N35" s="23">
        <v>49.943000000000005</v>
      </c>
      <c r="O35" s="23">
        <v>502.67787237999994</v>
      </c>
      <c r="P35" s="23">
        <v>255.477</v>
      </c>
      <c r="Q35" s="23">
        <v>0</v>
      </c>
      <c r="R35" s="23">
        <v>386.30255890000001</v>
      </c>
      <c r="S35" s="23">
        <v>354.66512054999993</v>
      </c>
      <c r="T35" s="23">
        <v>200.88499999999999</v>
      </c>
      <c r="U35" s="23">
        <v>69.192000000000007</v>
      </c>
      <c r="V35" s="23" t="s">
        <v>69</v>
      </c>
      <c r="W35" s="23">
        <v>142.60000000000002</v>
      </c>
      <c r="X35" s="23">
        <v>56.153000000000006</v>
      </c>
      <c r="Y35" s="23">
        <v>4.1219999999999999</v>
      </c>
      <c r="Z35" s="23">
        <v>79.472999999999999</v>
      </c>
      <c r="AA35" s="23">
        <v>1261.2292538000002</v>
      </c>
      <c r="AB35" s="23">
        <v>296.31799999999998</v>
      </c>
      <c r="AC35" s="23">
        <v>10.135000000000002</v>
      </c>
      <c r="AD35" s="23">
        <v>4.6120000000000001</v>
      </c>
      <c r="AE35" s="23">
        <v>0.53800000000000003</v>
      </c>
      <c r="AF35" s="23">
        <v>4.5049999999999999</v>
      </c>
      <c r="AG35" s="23">
        <v>1.383</v>
      </c>
      <c r="AH35" s="23">
        <v>2238.4874561699999</v>
      </c>
      <c r="AI35" s="23">
        <v>573.93899999999996</v>
      </c>
      <c r="AJ35" s="23">
        <v>6.3449999999999918</v>
      </c>
      <c r="AK35" s="23">
        <v>163.13999999999999</v>
      </c>
      <c r="AL35" s="23">
        <v>49.430999999999997</v>
      </c>
    </row>
    <row r="36" spans="1:38" x14ac:dyDescent="0.25">
      <c r="A36" t="s">
        <v>206</v>
      </c>
      <c r="B36" s="23">
        <v>2199.8478243299996</v>
      </c>
      <c r="C36" s="23">
        <v>91.250583429999992</v>
      </c>
      <c r="D36" s="23">
        <v>3834.1798432999999</v>
      </c>
      <c r="E36" s="23">
        <v>1418.9711509899998</v>
      </c>
      <c r="F36" s="23">
        <v>173.58493246</v>
      </c>
      <c r="G36" s="23">
        <v>1322.6357429899999</v>
      </c>
      <c r="H36" s="23">
        <v>6.484</v>
      </c>
      <c r="I36" s="23">
        <v>0.36499999999999999</v>
      </c>
      <c r="J36" s="23">
        <v>363.09399999999999</v>
      </c>
      <c r="K36" s="23">
        <v>10.295</v>
      </c>
      <c r="L36" s="23" t="s">
        <v>69</v>
      </c>
      <c r="M36" s="23">
        <v>68.355999999999995</v>
      </c>
      <c r="N36" s="23">
        <v>57.978999999999999</v>
      </c>
      <c r="O36" s="23">
        <v>1135.7921984</v>
      </c>
      <c r="P36" s="23">
        <v>382.93899999999996</v>
      </c>
      <c r="Q36" s="23">
        <v>0</v>
      </c>
      <c r="R36" s="23">
        <v>469.81272984999998</v>
      </c>
      <c r="S36" s="23">
        <v>345.93197151999999</v>
      </c>
      <c r="T36" s="23">
        <v>292.75199999999995</v>
      </c>
      <c r="U36" s="23">
        <v>71.941999999999993</v>
      </c>
      <c r="V36" s="23">
        <v>48.765000000000001</v>
      </c>
      <c r="W36" s="23">
        <v>114.50639295000001</v>
      </c>
      <c r="X36" s="23">
        <v>58.2</v>
      </c>
      <c r="Y36" s="23">
        <v>4.6959999999999997</v>
      </c>
      <c r="Z36" s="23">
        <v>85.302000000000007</v>
      </c>
      <c r="AA36" s="23">
        <v>1903.8777539399998</v>
      </c>
      <c r="AB36" s="23">
        <v>368.24099999999999</v>
      </c>
      <c r="AC36" s="23">
        <v>13.134</v>
      </c>
      <c r="AD36" s="23">
        <v>0.57400000000000007</v>
      </c>
      <c r="AE36" s="23">
        <v>1.056</v>
      </c>
      <c r="AF36" s="23">
        <v>5.1560000000000006</v>
      </c>
      <c r="AG36" s="23">
        <v>2.3600000000000003</v>
      </c>
      <c r="AH36" s="23">
        <v>2746.3993350299997</v>
      </c>
      <c r="AI36" s="23">
        <v>713.72299999999996</v>
      </c>
      <c r="AJ36" s="23">
        <v>-37.905999999999999</v>
      </c>
      <c r="AK36" s="23">
        <v>188.072</v>
      </c>
      <c r="AL36" s="23">
        <v>63.356999999999999</v>
      </c>
    </row>
    <row r="37" spans="1:38" x14ac:dyDescent="0.25">
      <c r="A37" t="s">
        <v>207</v>
      </c>
      <c r="B37" s="23">
        <v>2796.1388435899999</v>
      </c>
      <c r="C37" s="23">
        <v>101.49262114</v>
      </c>
      <c r="D37" s="23">
        <v>3833.6428390299998</v>
      </c>
      <c r="E37" s="23">
        <v>1512.9667032299999</v>
      </c>
      <c r="F37" s="23">
        <v>147.69427705999999</v>
      </c>
      <c r="G37" s="23">
        <v>1319.5105352400001</v>
      </c>
      <c r="H37" s="23">
        <v>0.50600000000000001</v>
      </c>
      <c r="I37" s="23">
        <v>0.42799999999999999</v>
      </c>
      <c r="J37" s="23">
        <v>395.22500000000002</v>
      </c>
      <c r="K37" s="23">
        <v>2.7690000000000001</v>
      </c>
      <c r="L37" s="23" t="s">
        <v>69</v>
      </c>
      <c r="M37" s="23">
        <v>87.805000000000007</v>
      </c>
      <c r="N37" s="23">
        <v>58.475000000000001</v>
      </c>
      <c r="O37" s="23">
        <v>1106.38239527</v>
      </c>
      <c r="P37" s="23">
        <v>461.65899999999999</v>
      </c>
      <c r="Q37" s="23">
        <v>8.1000000000000003E-2</v>
      </c>
      <c r="R37" s="23">
        <v>425.22214499</v>
      </c>
      <c r="S37" s="23">
        <v>403.95930351999999</v>
      </c>
      <c r="T37" s="23">
        <v>371.75800000000004</v>
      </c>
      <c r="U37" s="23">
        <v>79.361999999999995</v>
      </c>
      <c r="V37" s="23">
        <v>34.423000000000002</v>
      </c>
      <c r="W37" s="23">
        <v>148.80237585</v>
      </c>
      <c r="X37" s="23">
        <v>58.646000000000001</v>
      </c>
      <c r="Y37" s="23">
        <v>4.8479999999999999</v>
      </c>
      <c r="Z37" s="23">
        <v>76.183999999999997</v>
      </c>
      <c r="AA37" s="23">
        <v>1754.0649541399998</v>
      </c>
      <c r="AB37" s="23">
        <v>399.37199999999996</v>
      </c>
      <c r="AC37" s="23">
        <v>12.860000000000001</v>
      </c>
      <c r="AD37" s="23">
        <v>7.8E-2</v>
      </c>
      <c r="AE37" s="23">
        <v>1.4060000000000001</v>
      </c>
      <c r="AF37" s="23">
        <v>4.8250000000000002</v>
      </c>
      <c r="AG37" s="23">
        <v>2.4059999999999997</v>
      </c>
      <c r="AH37" s="23">
        <v>2479.4984056100002</v>
      </c>
      <c r="AI37" s="23">
        <v>648.99700000000007</v>
      </c>
      <c r="AJ37" s="23">
        <v>22.966999999999999</v>
      </c>
      <c r="AK37" s="23">
        <v>177.19299999999998</v>
      </c>
      <c r="AL37" s="23">
        <v>59.712000000000003</v>
      </c>
    </row>
  </sheetData>
  <mergeCells count="31">
    <mergeCell ref="AJ8:AJ9"/>
    <mergeCell ref="AK8:AK9"/>
    <mergeCell ref="AL8:AL9"/>
    <mergeCell ref="B7:Z7"/>
    <mergeCell ref="AA7:AG7"/>
    <mergeCell ref="AH7:AL7"/>
    <mergeCell ref="AD8:AD9"/>
    <mergeCell ref="AE8:AE9"/>
    <mergeCell ref="AF8:AF9"/>
    <mergeCell ref="AG8:AG9"/>
    <mergeCell ref="AH8:AH9"/>
    <mergeCell ref="AI8:AI9"/>
    <mergeCell ref="X8:X9"/>
    <mergeCell ref="Y8:Y9"/>
    <mergeCell ref="Z8:Z9"/>
    <mergeCell ref="A6:A9"/>
    <mergeCell ref="B6:AL6"/>
    <mergeCell ref="B8:C8"/>
    <mergeCell ref="D8:E8"/>
    <mergeCell ref="F8:F9"/>
    <mergeCell ref="G8:G9"/>
    <mergeCell ref="H8:H9"/>
    <mergeCell ref="AA8:AA9"/>
    <mergeCell ref="AB8:AB9"/>
    <mergeCell ref="AC8:AC9"/>
    <mergeCell ref="I8:I9"/>
    <mergeCell ref="J8:M8"/>
    <mergeCell ref="N8:N9"/>
    <mergeCell ref="O8:Q8"/>
    <mergeCell ref="R8:V8"/>
    <mergeCell ref="W8:W9"/>
  </mergeCells>
  <hyperlinks>
    <hyperlink ref="B4" r:id="rId1" xr:uid="{0DA1F9EA-7540-4E75-97B9-C9EEAE513C92}"/>
    <hyperlink ref="E4" location="INDICE!A1" display="Volver al indice" xr:uid="{68AC7BC3-0654-4388-A03E-4F7F184B311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53A83-27F6-4E4B-A394-EC3A76CCC68E}">
  <dimension ref="A1:AL1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4" sqref="E4"/>
    </sheetView>
  </sheetViews>
  <sheetFormatPr baseColWidth="10" defaultColWidth="11.42578125" defaultRowHeight="15" x14ac:dyDescent="0.25"/>
  <sheetData>
    <row r="1" spans="1:38" ht="23.25" x14ac:dyDescent="0.35">
      <c r="A1" s="17" t="s">
        <v>25</v>
      </c>
    </row>
    <row r="2" spans="1:38" ht="21" x14ac:dyDescent="0.35">
      <c r="A2" s="18" t="s">
        <v>208</v>
      </c>
    </row>
    <row r="3" spans="1:38" x14ac:dyDescent="0.25">
      <c r="A3" t="s">
        <v>186</v>
      </c>
    </row>
    <row r="4" spans="1:38" x14ac:dyDescent="0.25">
      <c r="A4" t="s">
        <v>28</v>
      </c>
      <c r="B4" s="35" t="s">
        <v>29</v>
      </c>
      <c r="E4" s="35" t="s">
        <v>30</v>
      </c>
    </row>
    <row r="6" spans="1:38" ht="15.75" x14ac:dyDescent="0.25">
      <c r="A6" s="52"/>
      <c r="B6" s="56" t="s">
        <v>36</v>
      </c>
      <c r="C6" s="57"/>
      <c r="D6" s="56" t="s">
        <v>37</v>
      </c>
      <c r="E6" s="56"/>
      <c r="F6" s="47" t="s">
        <v>38</v>
      </c>
      <c r="G6" s="47" t="s">
        <v>39</v>
      </c>
      <c r="H6" s="46" t="s">
        <v>174</v>
      </c>
      <c r="I6" s="46" t="s">
        <v>175</v>
      </c>
      <c r="J6" s="60" t="s">
        <v>40</v>
      </c>
      <c r="K6" s="60"/>
      <c r="L6" s="60"/>
      <c r="M6" s="60"/>
      <c r="N6" s="46" t="s">
        <v>41</v>
      </c>
      <c r="O6" s="60" t="s">
        <v>42</v>
      </c>
      <c r="P6" s="60"/>
      <c r="Q6" s="61"/>
      <c r="R6" s="62" t="s">
        <v>176</v>
      </c>
      <c r="S6" s="60"/>
      <c r="T6" s="60"/>
      <c r="U6" s="60"/>
      <c r="V6" s="60"/>
      <c r="W6" s="47" t="s">
        <v>44</v>
      </c>
      <c r="X6" s="46" t="s">
        <v>46</v>
      </c>
      <c r="Y6" s="46" t="s">
        <v>177</v>
      </c>
      <c r="Z6" s="47" t="s">
        <v>47</v>
      </c>
      <c r="AA6" s="50" t="s">
        <v>48</v>
      </c>
      <c r="AB6" s="46" t="s">
        <v>49</v>
      </c>
      <c r="AC6" s="46" t="s">
        <v>50</v>
      </c>
      <c r="AD6" s="46" t="s">
        <v>51</v>
      </c>
      <c r="AE6" s="46" t="s">
        <v>52</v>
      </c>
      <c r="AF6" s="46" t="s">
        <v>178</v>
      </c>
      <c r="AG6" s="48" t="s">
        <v>54</v>
      </c>
      <c r="AH6" s="47" t="s">
        <v>55</v>
      </c>
      <c r="AI6" s="47" t="s">
        <v>56</v>
      </c>
      <c r="AJ6" s="47" t="s">
        <v>60</v>
      </c>
      <c r="AK6" s="47" t="s">
        <v>57</v>
      </c>
      <c r="AL6" s="47" t="s">
        <v>58</v>
      </c>
    </row>
    <row r="7" spans="1:38" ht="78.75" x14ac:dyDescent="0.25">
      <c r="A7" s="52"/>
      <c r="B7" s="11" t="s">
        <v>61</v>
      </c>
      <c r="C7" s="12" t="s">
        <v>62</v>
      </c>
      <c r="D7" s="11" t="s">
        <v>63</v>
      </c>
      <c r="E7" s="11" t="s">
        <v>64</v>
      </c>
      <c r="F7" s="47"/>
      <c r="G7" s="47"/>
      <c r="H7" s="47"/>
      <c r="I7" s="47"/>
      <c r="J7" s="11" t="s">
        <v>65</v>
      </c>
      <c r="K7" s="11" t="s">
        <v>179</v>
      </c>
      <c r="L7" s="11" t="s">
        <v>180</v>
      </c>
      <c r="M7" s="11" t="s">
        <v>54</v>
      </c>
      <c r="N7" s="47"/>
      <c r="O7" s="11" t="s">
        <v>66</v>
      </c>
      <c r="P7" s="11" t="s">
        <v>67</v>
      </c>
      <c r="Q7" s="12" t="s">
        <v>68</v>
      </c>
      <c r="R7" s="11" t="s">
        <v>181</v>
      </c>
      <c r="S7" s="11" t="s">
        <v>182</v>
      </c>
      <c r="T7" s="11" t="s">
        <v>183</v>
      </c>
      <c r="U7" s="11" t="s">
        <v>184</v>
      </c>
      <c r="V7" s="11" t="s">
        <v>185</v>
      </c>
      <c r="W7" s="47"/>
      <c r="X7" s="47"/>
      <c r="Y7" s="47"/>
      <c r="Z7" s="47"/>
      <c r="AA7" s="51"/>
      <c r="AB7" s="47"/>
      <c r="AC7" s="47"/>
      <c r="AD7" s="47"/>
      <c r="AE7" s="47"/>
      <c r="AF7" s="47"/>
      <c r="AG7" s="49"/>
      <c r="AH7" s="47"/>
      <c r="AI7" s="47"/>
      <c r="AJ7" s="47"/>
      <c r="AK7" s="47"/>
      <c r="AL7" s="47"/>
    </row>
    <row r="8" spans="1:38" ht="15.75" x14ac:dyDescent="0.25">
      <c r="A8" s="25">
        <v>1996</v>
      </c>
      <c r="B8" s="24">
        <v>6407.2739999999994</v>
      </c>
      <c r="C8" s="24">
        <v>393.72200000000004</v>
      </c>
      <c r="D8" s="24">
        <v>13890.526000000002</v>
      </c>
      <c r="E8" s="24">
        <v>6260.8939999999993</v>
      </c>
      <c r="F8" s="24" t="s">
        <v>69</v>
      </c>
      <c r="G8" s="24" t="s">
        <v>69</v>
      </c>
      <c r="H8" s="24" t="s">
        <v>69</v>
      </c>
      <c r="I8" s="24" t="s">
        <v>69</v>
      </c>
      <c r="J8" s="24">
        <v>1343.7120000000002</v>
      </c>
      <c r="K8" s="24">
        <v>249.50900000000001</v>
      </c>
      <c r="L8" s="24" t="s">
        <v>69</v>
      </c>
      <c r="M8" s="24">
        <v>347.3239999999999</v>
      </c>
      <c r="N8" s="24">
        <v>172.304</v>
      </c>
      <c r="O8" s="24">
        <v>1326.345</v>
      </c>
      <c r="P8" s="24">
        <v>611.94899999999996</v>
      </c>
      <c r="Q8" s="24">
        <v>120.761</v>
      </c>
      <c r="R8" s="24">
        <v>2199.7579999999998</v>
      </c>
      <c r="S8" s="24">
        <v>138.53</v>
      </c>
      <c r="T8" s="24" t="s">
        <v>69</v>
      </c>
      <c r="U8" s="24" t="s">
        <v>69</v>
      </c>
      <c r="V8" s="24" t="s">
        <v>69</v>
      </c>
      <c r="W8" s="24">
        <v>653.04299999999989</v>
      </c>
      <c r="X8" s="24" t="s">
        <v>69</v>
      </c>
      <c r="Y8" s="24" t="s">
        <v>69</v>
      </c>
      <c r="Z8" s="24">
        <v>644.16800000000012</v>
      </c>
      <c r="AA8" s="24">
        <v>28.317000000000004</v>
      </c>
      <c r="AB8" s="24">
        <v>1897.643</v>
      </c>
      <c r="AC8" s="24">
        <v>328.42399999999998</v>
      </c>
      <c r="AD8" s="24" t="s">
        <v>69</v>
      </c>
      <c r="AE8" s="24">
        <v>4.6270000000000007</v>
      </c>
      <c r="AF8" s="24">
        <v>49.615000000000009</v>
      </c>
      <c r="AG8" s="24">
        <v>0.83100000000000007</v>
      </c>
      <c r="AH8" s="24">
        <v>12411.54</v>
      </c>
      <c r="AI8" s="24">
        <v>2454.7530000000002</v>
      </c>
      <c r="AJ8" s="24">
        <v>677.27199999999993</v>
      </c>
      <c r="AK8" s="24">
        <v>229.36</v>
      </c>
      <c r="AL8" s="24" t="s">
        <v>69</v>
      </c>
    </row>
    <row r="9" spans="1:38" ht="15.75" x14ac:dyDescent="0.25">
      <c r="A9" s="25">
        <v>1997</v>
      </c>
      <c r="B9" s="24">
        <v>7838.0311591299997</v>
      </c>
      <c r="C9" s="24">
        <v>495.74707760000001</v>
      </c>
      <c r="D9" s="24">
        <v>14638.98651947</v>
      </c>
      <c r="E9" s="24">
        <v>7698.1312948699997</v>
      </c>
      <c r="F9" s="24" t="s">
        <v>69</v>
      </c>
      <c r="G9" s="24" t="s">
        <v>69</v>
      </c>
      <c r="H9" s="24" t="s">
        <v>69</v>
      </c>
      <c r="I9" s="24" t="s">
        <v>69</v>
      </c>
      <c r="J9" s="24">
        <v>1318.2459999999999</v>
      </c>
      <c r="K9" s="24">
        <v>258.73799999999994</v>
      </c>
      <c r="L9" s="24">
        <v>105.021</v>
      </c>
      <c r="M9" s="24">
        <v>219.09299999999993</v>
      </c>
      <c r="N9" s="24">
        <v>193.82500000000002</v>
      </c>
      <c r="O9" s="24">
        <v>1863.2438014399997</v>
      </c>
      <c r="P9" s="24">
        <v>593.19299999999998</v>
      </c>
      <c r="Q9" s="24">
        <v>60.317</v>
      </c>
      <c r="R9" s="24">
        <v>2443.8183526799999</v>
      </c>
      <c r="S9" s="24">
        <v>1483.2665761999999</v>
      </c>
      <c r="T9" s="24" t="s">
        <v>69</v>
      </c>
      <c r="U9" s="24" t="s">
        <v>69</v>
      </c>
      <c r="V9" s="24" t="s">
        <v>69</v>
      </c>
      <c r="W9" s="24">
        <v>488.69378959000005</v>
      </c>
      <c r="X9" s="24" t="s">
        <v>69</v>
      </c>
      <c r="Y9" s="24" t="s">
        <v>69</v>
      </c>
      <c r="Z9" s="24">
        <v>492.56700000000001</v>
      </c>
      <c r="AA9" s="24">
        <v>6.4850000000000003</v>
      </c>
      <c r="AB9" s="24">
        <v>2429.1729999999998</v>
      </c>
      <c r="AC9" s="24">
        <v>392.13099999999997</v>
      </c>
      <c r="AD9" s="24" t="s">
        <v>69</v>
      </c>
      <c r="AE9" s="24">
        <v>3.8639999999999999</v>
      </c>
      <c r="AF9" s="24">
        <v>20.541</v>
      </c>
      <c r="AG9" s="24">
        <v>0.63100000000000012</v>
      </c>
      <c r="AH9" s="24">
        <v>13652.370999999999</v>
      </c>
      <c r="AI9" s="24">
        <v>2607.7139999999999</v>
      </c>
      <c r="AJ9" s="24">
        <v>400.27199999999993</v>
      </c>
      <c r="AK9" s="24">
        <v>513.24800000000005</v>
      </c>
      <c r="AL9" s="24" t="s">
        <v>69</v>
      </c>
    </row>
    <row r="10" spans="1:38" ht="15.75" x14ac:dyDescent="0.25">
      <c r="A10" s="25">
        <v>1998</v>
      </c>
      <c r="B10" s="24">
        <v>8988.5400043199988</v>
      </c>
      <c r="C10" s="24">
        <v>500.01593192999991</v>
      </c>
      <c r="D10" s="24">
        <v>14894.311478899997</v>
      </c>
      <c r="E10" s="24">
        <v>7695.6360140899997</v>
      </c>
      <c r="F10" s="24" t="s">
        <v>69</v>
      </c>
      <c r="G10" s="24" t="s">
        <v>69</v>
      </c>
      <c r="H10" s="24" t="s">
        <v>69</v>
      </c>
      <c r="I10" s="24" t="s">
        <v>69</v>
      </c>
      <c r="J10" s="24">
        <v>1331.0970000000002</v>
      </c>
      <c r="K10" s="24">
        <v>272.49</v>
      </c>
      <c r="L10" s="24">
        <v>187.32200000000003</v>
      </c>
      <c r="M10" s="24">
        <v>150.81800000000001</v>
      </c>
      <c r="N10" s="24">
        <v>197.81599999999997</v>
      </c>
      <c r="O10" s="24">
        <v>1732.5895924100003</v>
      </c>
      <c r="P10" s="24">
        <v>506.93299999999999</v>
      </c>
      <c r="Q10" s="24">
        <v>13.35</v>
      </c>
      <c r="R10" s="24">
        <v>2325.3806360399999</v>
      </c>
      <c r="S10" s="24">
        <v>1367.0798183099998</v>
      </c>
      <c r="T10" s="24" t="s">
        <v>69</v>
      </c>
      <c r="U10" s="24" t="s">
        <v>69</v>
      </c>
      <c r="V10" s="24" t="s">
        <v>69</v>
      </c>
      <c r="W10" s="24">
        <v>772.20522263000009</v>
      </c>
      <c r="X10" s="24">
        <v>99.63</v>
      </c>
      <c r="Y10" s="24" t="s">
        <v>69</v>
      </c>
      <c r="Z10" s="24">
        <v>514.34742768500007</v>
      </c>
      <c r="AA10" s="24">
        <v>27.866450620000002</v>
      </c>
      <c r="AB10" s="24">
        <v>2694.0039999999999</v>
      </c>
      <c r="AC10" s="24">
        <v>81.921999999999997</v>
      </c>
      <c r="AD10" s="24" t="s">
        <v>69</v>
      </c>
      <c r="AE10" s="24">
        <v>5.5119999999999996</v>
      </c>
      <c r="AF10" s="24">
        <v>20.113000000000003</v>
      </c>
      <c r="AG10" s="24">
        <v>12.363000000000001</v>
      </c>
      <c r="AH10" s="24">
        <v>13994.929</v>
      </c>
      <c r="AI10" s="24">
        <v>2749.5090000000005</v>
      </c>
      <c r="AJ10" s="24">
        <v>172.01000000000005</v>
      </c>
      <c r="AK10" s="24">
        <v>570.70399999999995</v>
      </c>
      <c r="AL10" s="24">
        <v>62.157000000000004</v>
      </c>
    </row>
    <row r="11" spans="1:38" ht="15.75" x14ac:dyDescent="0.25">
      <c r="A11" s="25">
        <v>1999</v>
      </c>
      <c r="B11" s="24">
        <v>8823.8898680099992</v>
      </c>
      <c r="C11" s="24">
        <v>416.07779205999998</v>
      </c>
      <c r="D11" s="24">
        <v>14373.77830416</v>
      </c>
      <c r="E11" s="24">
        <v>6365.1042033400008</v>
      </c>
      <c r="F11" s="24">
        <v>739.71769560000007</v>
      </c>
      <c r="G11" s="24" t="s">
        <v>69</v>
      </c>
      <c r="H11" s="24">
        <v>694.79300000000001</v>
      </c>
      <c r="I11" s="24" t="s">
        <v>69</v>
      </c>
      <c r="J11" s="24">
        <v>1328.0189999999998</v>
      </c>
      <c r="K11" s="24">
        <v>255.31900000000002</v>
      </c>
      <c r="L11" s="24">
        <v>97.753000000000014</v>
      </c>
      <c r="M11" s="24">
        <v>147.08600000000001</v>
      </c>
      <c r="N11" s="24">
        <v>198.73883403500011</v>
      </c>
      <c r="O11" s="24">
        <v>1967.8463253200002</v>
      </c>
      <c r="P11" s="24">
        <v>572.49099999999999</v>
      </c>
      <c r="Q11" s="24">
        <v>1.6169999999999995</v>
      </c>
      <c r="R11" s="24">
        <v>2176.5100386900003</v>
      </c>
      <c r="S11" s="24">
        <v>1411.36476978</v>
      </c>
      <c r="T11" s="24" t="s">
        <v>69</v>
      </c>
      <c r="U11" s="24" t="s">
        <v>69</v>
      </c>
      <c r="V11" s="24" t="s">
        <v>69</v>
      </c>
      <c r="W11" s="24">
        <v>545.53249527000003</v>
      </c>
      <c r="X11" s="24">
        <v>385.40899999999993</v>
      </c>
      <c r="Y11" s="24">
        <v>373.226</v>
      </c>
      <c r="Z11" s="24">
        <v>419.37399999999997</v>
      </c>
      <c r="AA11" s="24">
        <v>25.078966139999999</v>
      </c>
      <c r="AB11" s="24">
        <v>2227.1569999999997</v>
      </c>
      <c r="AC11" s="24">
        <v>50.588000000000001</v>
      </c>
      <c r="AD11" s="24" t="s">
        <v>69</v>
      </c>
      <c r="AE11" s="24">
        <v>3.9170000000000003</v>
      </c>
      <c r="AF11" s="24">
        <v>25.086999999999996</v>
      </c>
      <c r="AG11" s="24">
        <v>14.015999999999998</v>
      </c>
      <c r="AH11" s="24">
        <v>12955.598999999998</v>
      </c>
      <c r="AI11" s="24">
        <v>2723.0209999999997</v>
      </c>
      <c r="AJ11" s="24">
        <v>46.426000000000002</v>
      </c>
      <c r="AK11" s="24">
        <v>606.84400000000005</v>
      </c>
      <c r="AL11" s="24">
        <v>276.25900000000001</v>
      </c>
    </row>
    <row r="12" spans="1:38" ht="15.75" x14ac:dyDescent="0.25">
      <c r="A12" s="25">
        <v>2000</v>
      </c>
      <c r="B12" s="24">
        <v>10048.182166959999</v>
      </c>
      <c r="C12" s="24">
        <v>406.96253807000005</v>
      </c>
      <c r="D12" s="24">
        <v>14423.279826319998</v>
      </c>
      <c r="E12" s="24">
        <v>6051.9578636900005</v>
      </c>
      <c r="F12" s="24">
        <v>600.15494804999992</v>
      </c>
      <c r="G12" s="24" t="s">
        <v>69</v>
      </c>
      <c r="H12" s="24">
        <v>855.11400000000003</v>
      </c>
      <c r="I12" s="24">
        <v>146.59200000000001</v>
      </c>
      <c r="J12" s="24">
        <v>1219.2179999999998</v>
      </c>
      <c r="K12" s="24">
        <v>194.10600000000002</v>
      </c>
      <c r="L12" s="24">
        <v>15.603999999999997</v>
      </c>
      <c r="M12" s="24">
        <v>309.22000000000003</v>
      </c>
      <c r="N12" s="24">
        <v>487.255</v>
      </c>
      <c r="O12" s="24">
        <v>1466.7659331200002</v>
      </c>
      <c r="P12" s="24">
        <v>582.33100000000002</v>
      </c>
      <c r="Q12" s="24">
        <v>277.54899999999998</v>
      </c>
      <c r="R12" s="24">
        <v>2153.6282827099999</v>
      </c>
      <c r="S12" s="24">
        <v>1324.58626192</v>
      </c>
      <c r="T12" s="24" t="s">
        <v>69</v>
      </c>
      <c r="U12" s="24" t="s">
        <v>69</v>
      </c>
      <c r="V12" s="24" t="s">
        <v>69</v>
      </c>
      <c r="W12" s="24">
        <v>1024.3117548499999</v>
      </c>
      <c r="X12" s="24">
        <v>353.55299999999994</v>
      </c>
      <c r="Y12" s="24">
        <v>69.260999999999996</v>
      </c>
      <c r="Z12" s="24">
        <v>455.94099999999992</v>
      </c>
      <c r="AA12" s="24">
        <v>32.072443340000007</v>
      </c>
      <c r="AB12" s="24">
        <v>1937.8390000000002</v>
      </c>
      <c r="AC12" s="24">
        <v>38.411999999999999</v>
      </c>
      <c r="AD12" s="24" t="s">
        <v>69</v>
      </c>
      <c r="AE12" s="24">
        <v>3.218</v>
      </c>
      <c r="AF12" s="24">
        <v>29.458999999999996</v>
      </c>
      <c r="AG12" s="24">
        <v>17.623999999999995</v>
      </c>
      <c r="AH12" s="24">
        <v>12495.167616160001</v>
      </c>
      <c r="AI12" s="24">
        <v>2722.7489999999998</v>
      </c>
      <c r="AJ12" s="24">
        <v>15.662000000000006</v>
      </c>
      <c r="AK12" s="24">
        <v>614.69499999999994</v>
      </c>
      <c r="AL12" s="24">
        <v>321.61</v>
      </c>
    </row>
    <row r="13" spans="1:38" ht="15.75" x14ac:dyDescent="0.25">
      <c r="A13" s="25">
        <v>2001</v>
      </c>
      <c r="B13" s="24">
        <v>9771.9383935300011</v>
      </c>
      <c r="C13" s="24">
        <v>319.36458951999998</v>
      </c>
      <c r="D13" s="24">
        <v>12396.004986300002</v>
      </c>
      <c r="E13" s="24">
        <v>4728.1065440900002</v>
      </c>
      <c r="F13" s="24">
        <v>550.05146884999999</v>
      </c>
      <c r="G13" s="24">
        <v>2932.9749147100006</v>
      </c>
      <c r="H13" s="24">
        <v>444.70600000000002</v>
      </c>
      <c r="I13" s="24">
        <v>8.0438299999999998</v>
      </c>
      <c r="J13" s="24">
        <v>1335.7440000000004</v>
      </c>
      <c r="K13" s="24">
        <v>115.76299999999999</v>
      </c>
      <c r="L13" s="24">
        <v>9.6819999999999986</v>
      </c>
      <c r="M13" s="24">
        <v>285.50099999999998</v>
      </c>
      <c r="N13" s="24">
        <v>225.852</v>
      </c>
      <c r="O13" s="24">
        <v>1773.1286766700005</v>
      </c>
      <c r="P13" s="24">
        <v>531.74400000000003</v>
      </c>
      <c r="Q13" s="24">
        <v>1.5699999999999999E-2</v>
      </c>
      <c r="R13" s="24">
        <v>1820.8321179299999</v>
      </c>
      <c r="S13" s="24">
        <v>1598.7944462200001</v>
      </c>
      <c r="T13" s="24" t="s">
        <v>69</v>
      </c>
      <c r="U13" s="24" t="s">
        <v>69</v>
      </c>
      <c r="V13" s="24" t="s">
        <v>69</v>
      </c>
      <c r="W13" s="24">
        <v>769.33305171999996</v>
      </c>
      <c r="X13" s="24">
        <v>302.35399999999993</v>
      </c>
      <c r="Y13" s="24">
        <v>14.253999999999998</v>
      </c>
      <c r="Z13" s="24">
        <v>372.81899999999996</v>
      </c>
      <c r="AA13" s="24">
        <v>52.347867460000003</v>
      </c>
      <c r="AB13" s="24">
        <v>1540.482</v>
      </c>
      <c r="AC13" s="24">
        <v>34.418000000000006</v>
      </c>
      <c r="AD13" s="24" t="s">
        <v>69</v>
      </c>
      <c r="AE13" s="24">
        <v>1.448</v>
      </c>
      <c r="AF13" s="24">
        <v>17.049000000000003</v>
      </c>
      <c r="AG13" s="24">
        <v>30.611999999999991</v>
      </c>
      <c r="AH13" s="24">
        <v>11510.710101340001</v>
      </c>
      <c r="AI13" s="24">
        <v>2483.4969999999998</v>
      </c>
      <c r="AJ13" s="24">
        <v>23.240999999999993</v>
      </c>
      <c r="AK13" s="24">
        <v>736.6869999999999</v>
      </c>
      <c r="AL13" s="24">
        <v>304.28899999999999</v>
      </c>
    </row>
    <row r="14" spans="1:38" ht="15.75" x14ac:dyDescent="0.25">
      <c r="A14" s="25">
        <v>2002</v>
      </c>
      <c r="B14" s="24">
        <v>8608.9650808600018</v>
      </c>
      <c r="C14" s="24">
        <v>310.37376028000006</v>
      </c>
      <c r="D14" s="24">
        <v>13365.345690689999</v>
      </c>
      <c r="E14" s="24">
        <v>4786.9705312900005</v>
      </c>
      <c r="F14" s="24">
        <v>534.62019465000003</v>
      </c>
      <c r="G14" s="24">
        <v>4857.3462782299994</v>
      </c>
      <c r="H14" s="24">
        <v>57.466999999999999</v>
      </c>
      <c r="I14" s="24">
        <v>2.2079999999999993</v>
      </c>
      <c r="J14" s="24">
        <v>1426.5849999999998</v>
      </c>
      <c r="K14" s="24">
        <v>51.116</v>
      </c>
      <c r="L14" s="24">
        <v>0</v>
      </c>
      <c r="M14" s="24">
        <v>288.88299999999998</v>
      </c>
      <c r="N14" s="24">
        <v>217.63499999999999</v>
      </c>
      <c r="O14" s="24">
        <v>2910.1420059699999</v>
      </c>
      <c r="P14" s="24">
        <v>1221.78</v>
      </c>
      <c r="Q14" s="24">
        <v>0.22999999999999998</v>
      </c>
      <c r="R14" s="24">
        <v>1678.4780013800003</v>
      </c>
      <c r="S14" s="24">
        <v>1456.4867861299999</v>
      </c>
      <c r="T14" s="24">
        <v>997.88199999999995</v>
      </c>
      <c r="U14" s="24">
        <v>267.137</v>
      </c>
      <c r="V14" s="24">
        <v>83.188000000000002</v>
      </c>
      <c r="W14" s="24">
        <v>523.5087688000001</v>
      </c>
      <c r="X14" s="24">
        <v>223.25700000000001</v>
      </c>
      <c r="Y14" s="24">
        <v>15.52</v>
      </c>
      <c r="Z14" s="24">
        <v>306.79899999999998</v>
      </c>
      <c r="AA14" s="24">
        <v>5021.54076953</v>
      </c>
      <c r="AB14" s="24">
        <v>1265.6420000000001</v>
      </c>
      <c r="AC14" s="24">
        <v>41.933</v>
      </c>
      <c r="AD14" s="24">
        <v>-1.1389999999999985</v>
      </c>
      <c r="AE14" s="24">
        <v>3.6459999999999999</v>
      </c>
      <c r="AF14" s="24">
        <v>17.892000000000003</v>
      </c>
      <c r="AG14" s="24">
        <v>7.883</v>
      </c>
      <c r="AH14" s="24">
        <v>9713.3189754000014</v>
      </c>
      <c r="AI14" s="24">
        <v>2511.6279999999997</v>
      </c>
      <c r="AJ14" s="24">
        <v>47.221999999999994</v>
      </c>
      <c r="AK14" s="24">
        <v>691.42299999999989</v>
      </c>
      <c r="AL14" s="24">
        <v>225.82</v>
      </c>
    </row>
  </sheetData>
  <mergeCells count="27">
    <mergeCell ref="AJ6:AJ7"/>
    <mergeCell ref="AK6:AK7"/>
    <mergeCell ref="AL6:AL7"/>
    <mergeCell ref="AD6:AD7"/>
    <mergeCell ref="AE6:AE7"/>
    <mergeCell ref="AF6:AF7"/>
    <mergeCell ref="AG6:AG7"/>
    <mergeCell ref="AH6:AH7"/>
    <mergeCell ref="AI6:AI7"/>
    <mergeCell ref="H6:H7"/>
    <mergeCell ref="AC6:AC7"/>
    <mergeCell ref="I6:I7"/>
    <mergeCell ref="J6:M6"/>
    <mergeCell ref="N6:N7"/>
    <mergeCell ref="O6:Q6"/>
    <mergeCell ref="R6:V6"/>
    <mergeCell ref="W6:W7"/>
    <mergeCell ref="X6:X7"/>
    <mergeCell ref="Y6:Y7"/>
    <mergeCell ref="Z6:Z7"/>
    <mergeCell ref="AA6:AA7"/>
    <mergeCell ref="AB6:AB7"/>
    <mergeCell ref="A6:A7"/>
    <mergeCell ref="B6:C6"/>
    <mergeCell ref="D6:E6"/>
    <mergeCell ref="F6:F7"/>
    <mergeCell ref="G6:G7"/>
  </mergeCells>
  <hyperlinks>
    <hyperlink ref="B4" r:id="rId1" xr:uid="{838A1896-856B-42B5-BA00-6275E1E50659}"/>
    <hyperlink ref="E4" location="INDICE!A1" display="Volver al indice" xr:uid="{1EC62019-94FF-48E7-92ED-1A618BC365DD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A5BCA-7B90-4D01-803A-113215CD6468}">
  <dimension ref="A1:AI225"/>
  <sheetViews>
    <sheetView zoomScaleNormal="100" workbookViewId="0">
      <pane xSplit="1" ySplit="9" topLeftCell="B127" activePane="bottomRight" state="frozen"/>
      <selection pane="topRight" activeCell="B1" sqref="B1"/>
      <selection pane="bottomLeft" activeCell="A5" sqref="A5"/>
      <selection pane="bottomRight" activeCell="E4" sqref="E4"/>
    </sheetView>
  </sheetViews>
  <sheetFormatPr baseColWidth="10" defaultColWidth="11.42578125" defaultRowHeight="15" x14ac:dyDescent="0.25"/>
  <cols>
    <col min="2" max="2" width="12.7109375" bestFit="1" customWidth="1"/>
    <col min="3" max="3" width="13.5703125" bestFit="1" customWidth="1"/>
    <col min="4" max="4" width="12.7109375" bestFit="1" customWidth="1"/>
    <col min="5" max="8" width="12.5703125" bestFit="1" customWidth="1"/>
    <col min="9" max="12" width="11.5703125" bestFit="1" customWidth="1"/>
    <col min="14" max="14" width="13.5703125" bestFit="1" customWidth="1"/>
    <col min="15" max="17" width="12.5703125" bestFit="1" customWidth="1"/>
    <col min="18" max="19" width="13.5703125" bestFit="1" customWidth="1"/>
    <col min="20" max="20" width="12.5703125" bestFit="1" customWidth="1"/>
    <col min="21" max="22" width="11.7109375" bestFit="1" customWidth="1"/>
    <col min="23" max="23" width="12.5703125" bestFit="1" customWidth="1"/>
    <col min="24" max="24" width="11.7109375" bestFit="1" customWidth="1"/>
    <col min="25" max="28" width="13.5703125" bestFit="1" customWidth="1"/>
    <col min="29" max="29" width="12.5703125" bestFit="1" customWidth="1"/>
    <col min="30" max="30" width="11.7109375" bestFit="1" customWidth="1"/>
    <col min="31" max="31" width="13.28515625" bestFit="1" customWidth="1"/>
    <col min="32" max="35" width="11.5703125" bestFit="1" customWidth="1"/>
  </cols>
  <sheetData>
    <row r="1" spans="1:35" ht="23.25" x14ac:dyDescent="0.35">
      <c r="A1" s="17" t="s">
        <v>25</v>
      </c>
    </row>
    <row r="2" spans="1:35" ht="21" x14ac:dyDescent="0.35">
      <c r="A2" s="18" t="s">
        <v>209</v>
      </c>
    </row>
    <row r="3" spans="1:35" x14ac:dyDescent="0.25">
      <c r="A3" t="s">
        <v>186</v>
      </c>
    </row>
    <row r="4" spans="1:35" x14ac:dyDescent="0.25">
      <c r="A4" t="s">
        <v>28</v>
      </c>
      <c r="B4" s="35" t="s">
        <v>29</v>
      </c>
      <c r="E4" s="35" t="s">
        <v>210</v>
      </c>
    </row>
    <row r="6" spans="1:35" ht="15.75" x14ac:dyDescent="0.25">
      <c r="A6" s="52" t="s">
        <v>31</v>
      </c>
      <c r="B6" s="53" t="s">
        <v>32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</row>
    <row r="7" spans="1:35" ht="15.75" x14ac:dyDescent="0.25">
      <c r="A7" s="52"/>
      <c r="B7" s="56" t="s">
        <v>33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5" t="s">
        <v>34</v>
      </c>
      <c r="W7" s="56"/>
      <c r="X7" s="56"/>
      <c r="Y7" s="56"/>
      <c r="Z7" s="56"/>
      <c r="AA7" s="56"/>
      <c r="AB7" s="57"/>
      <c r="AC7" s="58" t="s">
        <v>35</v>
      </c>
      <c r="AD7" s="59"/>
      <c r="AE7" s="59"/>
      <c r="AF7" s="59"/>
      <c r="AG7" s="59"/>
      <c r="AH7" s="59"/>
      <c r="AI7" s="59"/>
    </row>
    <row r="8" spans="1:35" ht="15.75" x14ac:dyDescent="0.25">
      <c r="A8" s="52"/>
      <c r="B8" s="56" t="s">
        <v>36</v>
      </c>
      <c r="C8" s="57"/>
      <c r="D8" s="55" t="s">
        <v>37</v>
      </c>
      <c r="E8" s="56"/>
      <c r="F8" s="46" t="s">
        <v>38</v>
      </c>
      <c r="G8" s="46" t="s">
        <v>39</v>
      </c>
      <c r="H8" s="60" t="s">
        <v>40</v>
      </c>
      <c r="I8" s="60"/>
      <c r="J8" s="46" t="s">
        <v>41</v>
      </c>
      <c r="K8" s="60" t="s">
        <v>42</v>
      </c>
      <c r="L8" s="60"/>
      <c r="M8" s="62" t="s">
        <v>176</v>
      </c>
      <c r="N8" s="60"/>
      <c r="O8" s="60"/>
      <c r="P8" s="60"/>
      <c r="Q8" s="60"/>
      <c r="R8" s="46" t="s">
        <v>44</v>
      </c>
      <c r="S8" s="46" t="s">
        <v>45</v>
      </c>
      <c r="T8" s="46" t="s">
        <v>46</v>
      </c>
      <c r="U8" s="46" t="s">
        <v>47</v>
      </c>
      <c r="V8" s="51" t="s">
        <v>48</v>
      </c>
      <c r="W8" s="46" t="s">
        <v>49</v>
      </c>
      <c r="X8" s="46" t="s">
        <v>50</v>
      </c>
      <c r="Y8" s="46" t="s">
        <v>51</v>
      </c>
      <c r="Z8" s="46" t="s">
        <v>52</v>
      </c>
      <c r="AA8" s="46" t="s">
        <v>53</v>
      </c>
      <c r="AB8" s="48" t="s">
        <v>54</v>
      </c>
      <c r="AC8" s="46" t="s">
        <v>211</v>
      </c>
      <c r="AD8" s="46" t="s">
        <v>212</v>
      </c>
      <c r="AE8" s="46" t="s">
        <v>56</v>
      </c>
      <c r="AF8" s="46" t="s">
        <v>57</v>
      </c>
      <c r="AG8" s="46" t="s">
        <v>213</v>
      </c>
      <c r="AH8" s="46" t="s">
        <v>214</v>
      </c>
      <c r="AI8" s="46" t="s">
        <v>60</v>
      </c>
    </row>
    <row r="9" spans="1:35" ht="47.25" x14ac:dyDescent="0.25">
      <c r="A9" s="52"/>
      <c r="B9" s="11" t="s">
        <v>61</v>
      </c>
      <c r="C9" s="12" t="s">
        <v>62</v>
      </c>
      <c r="D9" s="11" t="s">
        <v>63</v>
      </c>
      <c r="E9" s="11" t="s">
        <v>64</v>
      </c>
      <c r="F9" s="47"/>
      <c r="G9" s="47"/>
      <c r="H9" s="11" t="s">
        <v>65</v>
      </c>
      <c r="I9" s="11" t="s">
        <v>54</v>
      </c>
      <c r="J9" s="47"/>
      <c r="K9" s="11" t="s">
        <v>66</v>
      </c>
      <c r="L9" s="11" t="s">
        <v>67</v>
      </c>
      <c r="M9" s="14" t="s">
        <v>181</v>
      </c>
      <c r="N9" s="11" t="s">
        <v>182</v>
      </c>
      <c r="O9" s="11" t="s">
        <v>183</v>
      </c>
      <c r="P9" s="11" t="s">
        <v>184</v>
      </c>
      <c r="Q9" s="11" t="s">
        <v>185</v>
      </c>
      <c r="R9" s="47"/>
      <c r="S9" s="47"/>
      <c r="T9" s="47"/>
      <c r="U9" s="47"/>
      <c r="V9" s="51"/>
      <c r="W9" s="47"/>
      <c r="X9" s="47"/>
      <c r="Y9" s="47"/>
      <c r="Z9" s="47"/>
      <c r="AA9" s="47"/>
      <c r="AB9" s="49"/>
      <c r="AC9" s="47"/>
      <c r="AD9" s="47"/>
      <c r="AE9" s="47"/>
      <c r="AF9" s="47"/>
      <c r="AG9" s="47"/>
      <c r="AH9" s="47"/>
      <c r="AI9" s="47"/>
    </row>
    <row r="10" spans="1:35" ht="15.75" x14ac:dyDescent="0.25">
      <c r="A10" s="13">
        <v>37622</v>
      </c>
      <c r="B10" s="10">
        <v>1061.00419078</v>
      </c>
      <c r="C10" s="10">
        <v>34.157545709999994</v>
      </c>
      <c r="D10" s="10">
        <v>1392.7633353199999</v>
      </c>
      <c r="E10" s="10">
        <v>567.21968347999996</v>
      </c>
      <c r="F10" s="10">
        <v>50.487246329999998</v>
      </c>
      <c r="G10" s="10">
        <v>515.70000000000005</v>
      </c>
      <c r="H10" s="10">
        <v>144.05199999999999</v>
      </c>
      <c r="I10" s="10">
        <v>39.744508200000006</v>
      </c>
      <c r="J10" s="10">
        <v>20.409483729999998</v>
      </c>
      <c r="K10" s="10">
        <v>273.63048722999997</v>
      </c>
      <c r="L10" s="10">
        <v>103.71322791999999</v>
      </c>
      <c r="M10" s="10">
        <v>123.26671459000001</v>
      </c>
      <c r="N10" s="10">
        <v>70.456441040000001</v>
      </c>
      <c r="O10" s="10">
        <v>49.410870219999985</v>
      </c>
      <c r="P10" s="10">
        <v>16.521698670000003</v>
      </c>
      <c r="Q10" s="10">
        <v>9.6407734099999978</v>
      </c>
      <c r="R10" s="10">
        <v>16.3</v>
      </c>
      <c r="S10" s="10" t="s">
        <v>69</v>
      </c>
      <c r="T10" s="10">
        <v>21.738873260000009</v>
      </c>
      <c r="U10" s="10">
        <v>33.704463060000002</v>
      </c>
      <c r="V10" s="10">
        <v>664.13784854000005</v>
      </c>
      <c r="W10" s="10">
        <v>146.51977528</v>
      </c>
      <c r="X10" s="10">
        <v>4.4588738599999997</v>
      </c>
      <c r="Y10" s="10">
        <v>3.2560560000000002E-2</v>
      </c>
      <c r="Z10" s="10">
        <v>0.20108612000000003</v>
      </c>
      <c r="AA10" s="10" t="s">
        <v>69</v>
      </c>
      <c r="AB10" s="10">
        <v>3.0570629900000004</v>
      </c>
      <c r="AC10" s="10">
        <v>416.76445766000001</v>
      </c>
      <c r="AD10" s="10">
        <v>812.28131949000021</v>
      </c>
      <c r="AE10" s="10">
        <v>305.62959291999994</v>
      </c>
      <c r="AF10" s="10">
        <v>77.633080700000036</v>
      </c>
      <c r="AG10" s="10">
        <v>22.805921989999998</v>
      </c>
      <c r="AH10" s="10" t="s">
        <v>69</v>
      </c>
      <c r="AI10" s="10">
        <v>-9.4607976700000034</v>
      </c>
    </row>
    <row r="11" spans="1:35" ht="15.75" x14ac:dyDescent="0.25">
      <c r="A11" s="13">
        <v>37653</v>
      </c>
      <c r="B11" s="10">
        <v>772.47995968999999</v>
      </c>
      <c r="C11" s="10">
        <v>30.880988739999999</v>
      </c>
      <c r="D11" s="10">
        <v>1223.81896592</v>
      </c>
      <c r="E11" s="10">
        <v>479.70683637000002</v>
      </c>
      <c r="F11" s="10">
        <v>47.229138730000003</v>
      </c>
      <c r="G11" s="10">
        <v>394.7</v>
      </c>
      <c r="H11" s="10">
        <v>121.691</v>
      </c>
      <c r="I11" s="10">
        <v>33.556873359999997</v>
      </c>
      <c r="J11" s="10">
        <v>16.143185209999995</v>
      </c>
      <c r="K11" s="10">
        <v>349.28875922999998</v>
      </c>
      <c r="L11" s="10">
        <v>108.5</v>
      </c>
      <c r="M11" s="10">
        <v>161.09660113999999</v>
      </c>
      <c r="N11" s="10">
        <v>116.07215543</v>
      </c>
      <c r="O11" s="10">
        <v>106.67624742999999</v>
      </c>
      <c r="P11" s="10">
        <v>25.728505909999996</v>
      </c>
      <c r="Q11" s="10">
        <v>9.548240370000002</v>
      </c>
      <c r="R11" s="10">
        <v>66.599999999999994</v>
      </c>
      <c r="S11" s="10" t="s">
        <v>69</v>
      </c>
      <c r="T11" s="10">
        <v>19.437269359999998</v>
      </c>
      <c r="U11" s="10">
        <v>27.46860758</v>
      </c>
      <c r="V11" s="10">
        <v>619.94831389000001</v>
      </c>
      <c r="W11" s="10">
        <v>119.21957305000002</v>
      </c>
      <c r="X11" s="10">
        <v>3.9990851899999997</v>
      </c>
      <c r="Y11" s="10">
        <v>6.2756000000000001E-3</v>
      </c>
      <c r="Z11" s="10">
        <v>0.12695264000000001</v>
      </c>
      <c r="AA11" s="10" t="s">
        <v>69</v>
      </c>
      <c r="AB11" s="10">
        <v>3.7333477499999992</v>
      </c>
      <c r="AC11" s="10">
        <v>309.72879473999996</v>
      </c>
      <c r="AD11" s="10">
        <v>561.59494347999998</v>
      </c>
      <c r="AE11" s="10">
        <v>229.99061036000003</v>
      </c>
      <c r="AF11" s="10">
        <v>62.483621779999993</v>
      </c>
      <c r="AG11" s="10">
        <v>20.776224959999997</v>
      </c>
      <c r="AH11" s="10" t="s">
        <v>69</v>
      </c>
      <c r="AI11" s="10">
        <v>4.1693159400000006</v>
      </c>
    </row>
    <row r="12" spans="1:35" ht="15.75" x14ac:dyDescent="0.25">
      <c r="A12" s="13">
        <v>37681</v>
      </c>
      <c r="B12" s="10">
        <v>749.43990473999997</v>
      </c>
      <c r="C12" s="10">
        <v>33.841718630000003</v>
      </c>
      <c r="D12" s="10">
        <v>1271.5830671399999</v>
      </c>
      <c r="E12" s="10">
        <v>526.46286129999999</v>
      </c>
      <c r="F12" s="10">
        <v>57.659483639999998</v>
      </c>
      <c r="G12" s="10">
        <v>420.9</v>
      </c>
      <c r="H12" s="10">
        <v>135.57697669999999</v>
      </c>
      <c r="I12" s="10">
        <v>24.894870999999995</v>
      </c>
      <c r="J12" s="10">
        <v>18.55894812</v>
      </c>
      <c r="K12" s="10">
        <v>299.12595618</v>
      </c>
      <c r="L12" s="10">
        <v>120.01601612999998</v>
      </c>
      <c r="M12" s="10">
        <v>155.70849700999997</v>
      </c>
      <c r="N12" s="10">
        <v>104.36603255</v>
      </c>
      <c r="O12" s="10">
        <v>107.66570083000002</v>
      </c>
      <c r="P12" s="10">
        <v>22.666514599999999</v>
      </c>
      <c r="Q12" s="10">
        <v>9.9663674700000016</v>
      </c>
      <c r="R12" s="10">
        <v>13.2</v>
      </c>
      <c r="S12" s="10" t="s">
        <v>69</v>
      </c>
      <c r="T12" s="10">
        <v>20.335888860000001</v>
      </c>
      <c r="U12" s="10">
        <v>26.642309569999998</v>
      </c>
      <c r="V12" s="10">
        <v>739.29279022000003</v>
      </c>
      <c r="W12" s="10">
        <v>130.59472077999999</v>
      </c>
      <c r="X12" s="10">
        <v>4.2107595799999995</v>
      </c>
      <c r="Y12" s="10">
        <v>5.4061199999999995E-3</v>
      </c>
      <c r="Z12" s="10">
        <v>0.18076211</v>
      </c>
      <c r="AA12" s="10" t="s">
        <v>69</v>
      </c>
      <c r="AB12" s="10">
        <v>4.7339773300000001</v>
      </c>
      <c r="AC12" s="10">
        <v>314.76594081000007</v>
      </c>
      <c r="AD12" s="10">
        <v>498.97242678000009</v>
      </c>
      <c r="AE12" s="10">
        <v>224.31450484000001</v>
      </c>
      <c r="AF12" s="10">
        <v>61.950701619999997</v>
      </c>
      <c r="AG12" s="10">
        <v>21.614699260000002</v>
      </c>
      <c r="AH12" s="10" t="s">
        <v>69</v>
      </c>
      <c r="AI12" s="10">
        <v>-8.2848438800000057</v>
      </c>
    </row>
    <row r="13" spans="1:35" ht="15.75" x14ac:dyDescent="0.25">
      <c r="A13" s="13">
        <v>37712</v>
      </c>
      <c r="B13" s="10">
        <v>922.6715182800001</v>
      </c>
      <c r="C13" s="10">
        <v>38.827092149999999</v>
      </c>
      <c r="D13" s="10">
        <v>1367.97265107</v>
      </c>
      <c r="E13" s="10">
        <v>630.75928018000002</v>
      </c>
      <c r="F13" s="10">
        <v>44.352455310000003</v>
      </c>
      <c r="G13" s="10">
        <v>461.7</v>
      </c>
      <c r="H13" s="10">
        <v>131.81581669000002</v>
      </c>
      <c r="I13" s="10">
        <v>28.119682940000004</v>
      </c>
      <c r="J13" s="10">
        <v>24.314704759999998</v>
      </c>
      <c r="K13" s="10">
        <v>303.12504324000002</v>
      </c>
      <c r="L13" s="10">
        <v>100.00278757000002</v>
      </c>
      <c r="M13" s="10">
        <v>126.81214303</v>
      </c>
      <c r="N13" s="10">
        <v>128.29810860999999</v>
      </c>
      <c r="O13" s="10">
        <v>143.14207128999999</v>
      </c>
      <c r="P13" s="10">
        <v>21.77277041</v>
      </c>
      <c r="Q13" s="10">
        <v>10.495176519999999</v>
      </c>
      <c r="R13" s="10">
        <v>97</v>
      </c>
      <c r="S13" s="10" t="s">
        <v>69</v>
      </c>
      <c r="T13" s="10">
        <v>22.304588820000003</v>
      </c>
      <c r="U13" s="10">
        <v>33.575312279999999</v>
      </c>
      <c r="V13" s="10">
        <v>809.88676418</v>
      </c>
      <c r="W13" s="10">
        <v>158.52190888000004</v>
      </c>
      <c r="X13" s="10">
        <v>4.879105749999999</v>
      </c>
      <c r="Y13" s="10">
        <v>6.7171399999999999E-3</v>
      </c>
      <c r="Z13" s="10">
        <v>0.20465743999999997</v>
      </c>
      <c r="AA13" s="10" t="s">
        <v>69</v>
      </c>
      <c r="AB13" s="10">
        <v>4.7438227000000008</v>
      </c>
      <c r="AC13" s="10">
        <v>358.58893150999995</v>
      </c>
      <c r="AD13" s="10">
        <v>542.97048699999993</v>
      </c>
      <c r="AE13" s="10">
        <v>234.20878138</v>
      </c>
      <c r="AF13" s="10">
        <v>64.121962429999996</v>
      </c>
      <c r="AG13" s="10">
        <v>23.841806399999999</v>
      </c>
      <c r="AH13" s="10" t="s">
        <v>69</v>
      </c>
      <c r="AI13" s="10">
        <v>-6.5985997100000029</v>
      </c>
    </row>
    <row r="14" spans="1:35" ht="15.75" x14ac:dyDescent="0.25">
      <c r="A14" s="13">
        <v>37742</v>
      </c>
      <c r="B14" s="10">
        <v>2126.0313870499999</v>
      </c>
      <c r="C14" s="10">
        <v>37.946895139999995</v>
      </c>
      <c r="D14" s="10">
        <v>1297.64916212</v>
      </c>
      <c r="E14" s="10">
        <v>593.70548530000008</v>
      </c>
      <c r="F14" s="10">
        <v>303.69293893999998</v>
      </c>
      <c r="G14" s="10">
        <v>494.20297569999997</v>
      </c>
      <c r="H14" s="10">
        <v>125.72694496999999</v>
      </c>
      <c r="I14" s="10">
        <v>32.893989130000001</v>
      </c>
      <c r="J14" s="10">
        <v>19.110179110000004</v>
      </c>
      <c r="K14" s="10">
        <v>513.86272701000007</v>
      </c>
      <c r="L14" s="10">
        <v>118.00255306000005</v>
      </c>
      <c r="M14" s="10">
        <v>114.44420982</v>
      </c>
      <c r="N14" s="10">
        <v>134.19381916</v>
      </c>
      <c r="O14" s="10">
        <v>116.38264523000001</v>
      </c>
      <c r="P14" s="10">
        <v>24.92419421</v>
      </c>
      <c r="Q14" s="10">
        <v>11.303657639999999</v>
      </c>
      <c r="R14" s="10">
        <v>463.22688418999996</v>
      </c>
      <c r="S14" s="10" t="s">
        <v>69</v>
      </c>
      <c r="T14" s="10">
        <v>26.647348929999996</v>
      </c>
      <c r="U14" s="10">
        <v>31.25276594999999</v>
      </c>
      <c r="V14" s="10">
        <v>961.76207408000005</v>
      </c>
      <c r="W14" s="10">
        <v>151.54020177000004</v>
      </c>
      <c r="X14" s="10">
        <v>4.6779664799999994</v>
      </c>
      <c r="Y14" s="10">
        <v>-1.963233E-2</v>
      </c>
      <c r="Z14" s="10">
        <v>0.15671324</v>
      </c>
      <c r="AA14" s="10" t="s">
        <v>69</v>
      </c>
      <c r="AB14" s="10">
        <v>4.8649629000000001</v>
      </c>
      <c r="AC14" s="10">
        <v>368.44640729000002</v>
      </c>
      <c r="AD14" s="10">
        <v>573.43421007999984</v>
      </c>
      <c r="AE14" s="10">
        <v>238.07019812000001</v>
      </c>
      <c r="AF14" s="10">
        <v>66.353341670000006</v>
      </c>
      <c r="AG14" s="10">
        <v>23.69417091</v>
      </c>
      <c r="AH14" s="10" t="s">
        <v>69</v>
      </c>
      <c r="AI14" s="10">
        <v>3.1092743099999982</v>
      </c>
    </row>
    <row r="15" spans="1:35" ht="15.75" x14ac:dyDescent="0.25">
      <c r="A15" s="13">
        <v>37773</v>
      </c>
      <c r="B15" s="10">
        <v>1604.4446320500001</v>
      </c>
      <c r="C15" s="10">
        <v>42.947377019999998</v>
      </c>
      <c r="D15" s="10">
        <v>1334.04720901</v>
      </c>
      <c r="E15" s="10">
        <v>649.12369553000008</v>
      </c>
      <c r="F15" s="10">
        <v>115.46073852000001</v>
      </c>
      <c r="G15" s="10">
        <v>472.94926117</v>
      </c>
      <c r="H15" s="10">
        <v>135.71389045000001</v>
      </c>
      <c r="I15" s="10">
        <v>32.430847480000004</v>
      </c>
      <c r="J15" s="10">
        <v>19.594120639999996</v>
      </c>
      <c r="K15" s="10">
        <v>353.86462002000002</v>
      </c>
      <c r="L15" s="10">
        <v>120.00025731999999</v>
      </c>
      <c r="M15" s="10">
        <v>147.51313979</v>
      </c>
      <c r="N15" s="10">
        <v>130.99516439000001</v>
      </c>
      <c r="O15" s="10">
        <v>121.6553016</v>
      </c>
      <c r="P15" s="10">
        <v>23.093124630000002</v>
      </c>
      <c r="Q15" s="10">
        <v>11.835071690000001</v>
      </c>
      <c r="R15" s="10">
        <v>243.34012104000001</v>
      </c>
      <c r="S15" s="10" t="s">
        <v>69</v>
      </c>
      <c r="T15" s="10">
        <v>23.970053379999996</v>
      </c>
      <c r="U15" s="10">
        <v>28.019768150000001</v>
      </c>
      <c r="V15" s="10">
        <v>937.06614449000006</v>
      </c>
      <c r="W15" s="10">
        <v>166.99018330000001</v>
      </c>
      <c r="X15" s="10">
        <v>4.8138873899999997</v>
      </c>
      <c r="Y15" s="10">
        <v>3.2551400000000001E-3</v>
      </c>
      <c r="Z15" s="10">
        <v>0.27144887000000006</v>
      </c>
      <c r="AA15" s="10" t="s">
        <v>69</v>
      </c>
      <c r="AB15" s="10">
        <v>6.0449498300000002</v>
      </c>
      <c r="AC15" s="10">
        <v>356.92614538000004</v>
      </c>
      <c r="AD15" s="10">
        <v>568.25680662000013</v>
      </c>
      <c r="AE15" s="10">
        <v>243.63261346999997</v>
      </c>
      <c r="AF15" s="10">
        <v>66.924910049999994</v>
      </c>
      <c r="AG15" s="10">
        <v>24.309519279999996</v>
      </c>
      <c r="AH15" s="10" t="s">
        <v>69</v>
      </c>
      <c r="AI15" s="10">
        <v>1.0531739300000038</v>
      </c>
    </row>
    <row r="16" spans="1:35" ht="15.75" x14ac:dyDescent="0.25">
      <c r="A16" s="13">
        <v>37803</v>
      </c>
      <c r="B16" s="10">
        <v>1131.9538420000001</v>
      </c>
      <c r="C16" s="10">
        <v>51.961799570000004</v>
      </c>
      <c r="D16" s="10">
        <v>1461.2391162600002</v>
      </c>
      <c r="E16" s="10">
        <v>719.55343377000008</v>
      </c>
      <c r="F16" s="10">
        <v>114.00701230999999</v>
      </c>
      <c r="G16" s="10">
        <v>518.29652699999997</v>
      </c>
      <c r="H16" s="10">
        <v>132.15183481</v>
      </c>
      <c r="I16" s="10">
        <v>37.408698910000005</v>
      </c>
      <c r="J16" s="10">
        <v>19.016003909999995</v>
      </c>
      <c r="K16" s="10">
        <v>350.03917462999999</v>
      </c>
      <c r="L16" s="10">
        <v>119.90121477999993</v>
      </c>
      <c r="M16" s="10">
        <v>118.52365605</v>
      </c>
      <c r="N16" s="10">
        <v>103.33931846000002</v>
      </c>
      <c r="O16" s="10">
        <v>114.80983008</v>
      </c>
      <c r="P16" s="10">
        <v>22.676340669999998</v>
      </c>
      <c r="Q16" s="10">
        <v>13.919581999999998</v>
      </c>
      <c r="R16" s="10">
        <v>142.99747019</v>
      </c>
      <c r="S16" s="10" t="s">
        <v>69</v>
      </c>
      <c r="T16" s="10">
        <v>25.345378089999993</v>
      </c>
      <c r="U16" s="10">
        <v>33.131679299999995</v>
      </c>
      <c r="V16" s="10">
        <v>894.55976713999996</v>
      </c>
      <c r="W16" s="10">
        <v>190.10747482000002</v>
      </c>
      <c r="X16" s="10">
        <v>5.29591557</v>
      </c>
      <c r="Y16" s="10">
        <v>4.1094199999999999E-3</v>
      </c>
      <c r="Z16" s="10">
        <v>0.30750128999999998</v>
      </c>
      <c r="AA16" s="10" t="s">
        <v>69</v>
      </c>
      <c r="AB16" s="10">
        <v>7.0715673600000004</v>
      </c>
      <c r="AC16" s="10">
        <v>515.58807205999983</v>
      </c>
      <c r="AD16" s="10">
        <v>840.69998835999968</v>
      </c>
      <c r="AE16" s="10">
        <v>340.91568439000002</v>
      </c>
      <c r="AF16" s="10">
        <v>87.011307719999991</v>
      </c>
      <c r="AG16" s="10">
        <v>26.143015680000005</v>
      </c>
      <c r="AH16" s="10" t="s">
        <v>69</v>
      </c>
      <c r="AI16" s="10">
        <v>4.1181812000000013</v>
      </c>
    </row>
    <row r="17" spans="1:35" ht="15.75" x14ac:dyDescent="0.25">
      <c r="A17" s="13">
        <v>37834</v>
      </c>
      <c r="B17" s="10">
        <v>1260.19606733</v>
      </c>
      <c r="C17" s="10">
        <v>50.097280570000002</v>
      </c>
      <c r="D17" s="10">
        <v>1510.4311077899999</v>
      </c>
      <c r="E17" s="10">
        <v>655.12684976000003</v>
      </c>
      <c r="F17" s="10">
        <v>129.95489895</v>
      </c>
      <c r="G17" s="10">
        <v>470.08728535</v>
      </c>
      <c r="H17" s="10">
        <v>164.04671856000002</v>
      </c>
      <c r="I17" s="10">
        <v>41.876882049999999</v>
      </c>
      <c r="J17" s="10">
        <v>18.894052739999996</v>
      </c>
      <c r="K17" s="10">
        <v>345.28099191000001</v>
      </c>
      <c r="L17" s="10">
        <v>106.87718766999997</v>
      </c>
      <c r="M17" s="10">
        <v>166.14919402000001</v>
      </c>
      <c r="N17" s="10">
        <v>140.26825081000001</v>
      </c>
      <c r="O17" s="10">
        <v>112.44159596</v>
      </c>
      <c r="P17" s="10">
        <v>25.158722910000002</v>
      </c>
      <c r="Q17" s="10">
        <v>13.825440919999998</v>
      </c>
      <c r="R17" s="10">
        <v>219.43214940999999</v>
      </c>
      <c r="S17" s="10" t="s">
        <v>69</v>
      </c>
      <c r="T17" s="10">
        <v>24.796026949999998</v>
      </c>
      <c r="U17" s="10">
        <v>27.664046579999997</v>
      </c>
      <c r="V17" s="10">
        <v>590.34784633000004</v>
      </c>
      <c r="W17" s="10">
        <v>162.85181474999999</v>
      </c>
      <c r="X17" s="10">
        <v>4.9084800599999996</v>
      </c>
      <c r="Y17" s="10">
        <v>-39.604786930000003</v>
      </c>
      <c r="Z17" s="10">
        <v>0.18138400999999998</v>
      </c>
      <c r="AA17" s="10" t="s">
        <v>69</v>
      </c>
      <c r="AB17" s="10">
        <v>5.7349982300000004</v>
      </c>
      <c r="AC17" s="10">
        <v>383.20251929</v>
      </c>
      <c r="AD17" s="10">
        <v>613.94936802999985</v>
      </c>
      <c r="AE17" s="10">
        <v>255.31666154000007</v>
      </c>
      <c r="AF17" s="10">
        <v>72.436793439999988</v>
      </c>
      <c r="AG17" s="10">
        <v>26.051877770000001</v>
      </c>
      <c r="AH17" s="10" t="s">
        <v>69</v>
      </c>
      <c r="AI17" s="10">
        <v>-2.1943621999999974</v>
      </c>
    </row>
    <row r="18" spans="1:35" ht="15.75" x14ac:dyDescent="0.25">
      <c r="A18" s="13">
        <v>37865</v>
      </c>
      <c r="B18" s="10">
        <v>965.87661786000012</v>
      </c>
      <c r="C18" s="10">
        <v>52.770886990000008</v>
      </c>
      <c r="D18" s="10">
        <v>1396.5004894799999</v>
      </c>
      <c r="E18" s="10">
        <v>1004.01648367</v>
      </c>
      <c r="F18" s="10">
        <v>127.88905101</v>
      </c>
      <c r="G18" s="10">
        <v>516.92906565999999</v>
      </c>
      <c r="H18" s="10">
        <v>161.19334125</v>
      </c>
      <c r="I18" s="10">
        <v>42.047108359999996</v>
      </c>
      <c r="J18" s="10">
        <v>28.911844809999998</v>
      </c>
      <c r="K18" s="10">
        <v>351.02931135</v>
      </c>
      <c r="L18" s="10">
        <v>119.99001887999999</v>
      </c>
      <c r="M18" s="10">
        <v>107.68048431</v>
      </c>
      <c r="N18" s="10">
        <v>126.43048571</v>
      </c>
      <c r="O18" s="10">
        <v>116.99309541000001</v>
      </c>
      <c r="P18" s="10">
        <v>26.644539999999999</v>
      </c>
      <c r="Q18" s="10">
        <v>14.854211180000002</v>
      </c>
      <c r="R18" s="10">
        <v>50.158620330000005</v>
      </c>
      <c r="S18" s="10" t="s">
        <v>69</v>
      </c>
      <c r="T18" s="10">
        <v>25.444426709999995</v>
      </c>
      <c r="U18" s="10">
        <v>33.445378390000002</v>
      </c>
      <c r="V18" s="10">
        <v>737.85101996000003</v>
      </c>
      <c r="W18" s="10">
        <v>258.12595668</v>
      </c>
      <c r="X18" s="10">
        <v>5.4379074099999993</v>
      </c>
      <c r="Y18" s="10">
        <v>1.1109550000000001E-2</v>
      </c>
      <c r="Z18" s="10">
        <v>0.17116170999999999</v>
      </c>
      <c r="AA18" s="10" t="s">
        <v>69</v>
      </c>
      <c r="AB18" s="10">
        <v>7.1672085700000006</v>
      </c>
      <c r="AC18" s="10">
        <v>401.6715854800002</v>
      </c>
      <c r="AD18" s="10">
        <v>627.81210612000029</v>
      </c>
      <c r="AE18" s="10">
        <v>257.86652014999999</v>
      </c>
      <c r="AF18" s="10">
        <v>75.892007300000003</v>
      </c>
      <c r="AG18" s="10">
        <v>26.78281029</v>
      </c>
      <c r="AH18" s="10" t="s">
        <v>69</v>
      </c>
      <c r="AI18" s="10">
        <v>2.5983952000000001</v>
      </c>
    </row>
    <row r="19" spans="1:35" ht="15.75" x14ac:dyDescent="0.25">
      <c r="A19" s="13">
        <v>37895</v>
      </c>
      <c r="B19" s="10">
        <v>1035.3745504399999</v>
      </c>
      <c r="C19" s="10">
        <v>58.820341499999998</v>
      </c>
      <c r="D19" s="10">
        <v>1425.06961869</v>
      </c>
      <c r="E19" s="10">
        <v>988.41858631999992</v>
      </c>
      <c r="F19" s="10">
        <v>123.85852696000001</v>
      </c>
      <c r="G19" s="10">
        <v>556.26996323000003</v>
      </c>
      <c r="H19" s="10">
        <v>155.71842283000001</v>
      </c>
      <c r="I19" s="10">
        <v>45.727743830000016</v>
      </c>
      <c r="J19" s="10">
        <v>18.473283460000001</v>
      </c>
      <c r="K19" s="10">
        <v>492.69715193000002</v>
      </c>
      <c r="L19" s="10">
        <v>110.20352695999999</v>
      </c>
      <c r="M19" s="10">
        <v>133.09160587</v>
      </c>
      <c r="N19" s="10">
        <v>137.43616349000001</v>
      </c>
      <c r="O19" s="10">
        <v>109.48957201</v>
      </c>
      <c r="P19" s="10">
        <v>24.657311839999998</v>
      </c>
      <c r="Q19" s="10">
        <v>14.16304772</v>
      </c>
      <c r="R19" s="10">
        <v>139.01598804</v>
      </c>
      <c r="S19" s="10" t="s">
        <v>69</v>
      </c>
      <c r="T19" s="10">
        <v>25.879635160000003</v>
      </c>
      <c r="U19" s="10">
        <v>30.609887569999998</v>
      </c>
      <c r="V19" s="10">
        <v>820.46140743000001</v>
      </c>
      <c r="W19" s="10">
        <v>263.11281323000003</v>
      </c>
      <c r="X19" s="10">
        <v>5.9463491900000012</v>
      </c>
      <c r="Y19" s="10">
        <v>-59.644554620000001</v>
      </c>
      <c r="Z19" s="10">
        <v>0.24675036000000003</v>
      </c>
      <c r="AA19" s="10" t="s">
        <v>69</v>
      </c>
      <c r="AB19" s="10">
        <v>8.3184035000000005</v>
      </c>
      <c r="AC19" s="10">
        <v>411.34263357999993</v>
      </c>
      <c r="AD19" s="10">
        <v>652.13311453000017</v>
      </c>
      <c r="AE19" s="10">
        <v>261.80631167000001</v>
      </c>
      <c r="AF19" s="10">
        <v>79.098527880000006</v>
      </c>
      <c r="AG19" s="10">
        <v>27.752501029999998</v>
      </c>
      <c r="AH19" s="10" t="s">
        <v>69</v>
      </c>
      <c r="AI19" s="10">
        <v>2.6552353100000001</v>
      </c>
    </row>
    <row r="20" spans="1:35" ht="15.75" x14ac:dyDescent="0.25">
      <c r="A20" s="13">
        <v>37926</v>
      </c>
      <c r="B20" s="10">
        <v>1324.47553726</v>
      </c>
      <c r="C20" s="10">
        <v>53.10284678</v>
      </c>
      <c r="D20" s="10">
        <v>1458.67070597</v>
      </c>
      <c r="E20" s="10">
        <v>904.50558812999998</v>
      </c>
      <c r="F20" s="10">
        <v>127.36245438</v>
      </c>
      <c r="G20" s="10">
        <v>507.78415179000001</v>
      </c>
      <c r="H20" s="10">
        <v>172.90586535</v>
      </c>
      <c r="I20" s="10">
        <v>52.30065089</v>
      </c>
      <c r="J20" s="10">
        <v>17.349561950000002</v>
      </c>
      <c r="K20" s="10">
        <v>360.02124294999999</v>
      </c>
      <c r="L20" s="10">
        <v>120</v>
      </c>
      <c r="M20" s="10">
        <v>122.12534918</v>
      </c>
      <c r="N20" s="10">
        <v>129.87473434</v>
      </c>
      <c r="O20" s="10">
        <v>117.36228999999999</v>
      </c>
      <c r="P20" s="10">
        <v>27.323458749999997</v>
      </c>
      <c r="Q20" s="10">
        <v>15.015423429999998</v>
      </c>
      <c r="R20" s="10">
        <v>28.932964030000001</v>
      </c>
      <c r="S20" s="10" t="s">
        <v>69</v>
      </c>
      <c r="T20" s="10">
        <v>24.415279789999996</v>
      </c>
      <c r="U20" s="10">
        <v>32.874776969999999</v>
      </c>
      <c r="V20" s="10">
        <v>724.90989965999995</v>
      </c>
      <c r="W20" s="10">
        <v>245.23072155000006</v>
      </c>
      <c r="X20" s="10">
        <v>5.6041575300000002</v>
      </c>
      <c r="Y20" s="10">
        <v>-56.645906290000006</v>
      </c>
      <c r="Z20" s="10">
        <v>0.10620292000000003</v>
      </c>
      <c r="AA20" s="10" t="s">
        <v>69</v>
      </c>
      <c r="AB20" s="10">
        <v>7.7558380000000007</v>
      </c>
      <c r="AC20" s="10">
        <v>430.62717210000011</v>
      </c>
      <c r="AD20" s="10">
        <v>654.79814806000002</v>
      </c>
      <c r="AE20" s="10">
        <v>264.77772561</v>
      </c>
      <c r="AF20" s="10">
        <v>80.741910899999979</v>
      </c>
      <c r="AG20" s="10">
        <v>26.400529890000005</v>
      </c>
      <c r="AH20" s="10" t="s">
        <v>69</v>
      </c>
      <c r="AI20" s="10">
        <v>4.1958731299999981</v>
      </c>
    </row>
    <row r="21" spans="1:35" ht="15.75" x14ac:dyDescent="0.25">
      <c r="A21" s="13">
        <v>37956</v>
      </c>
      <c r="B21" s="10">
        <v>1250.6782431000001</v>
      </c>
      <c r="C21" s="10">
        <v>60.755397270000003</v>
      </c>
      <c r="D21" s="10">
        <v>1493.7938645700003</v>
      </c>
      <c r="E21" s="10">
        <v>935.53786524999987</v>
      </c>
      <c r="F21" s="10">
        <v>120.81483111999999</v>
      </c>
      <c r="G21" s="10">
        <v>570.69940690999999</v>
      </c>
      <c r="H21" s="10">
        <v>189.55694252000001</v>
      </c>
      <c r="I21" s="10">
        <v>50.880347060000005</v>
      </c>
      <c r="J21" s="10">
        <v>35.529364100000009</v>
      </c>
      <c r="K21" s="10">
        <v>348.13770281999996</v>
      </c>
      <c r="L21" s="10">
        <v>120</v>
      </c>
      <c r="M21" s="10">
        <v>132.69630949</v>
      </c>
      <c r="N21" s="10">
        <v>207.05049249000001</v>
      </c>
      <c r="O21" s="10">
        <v>176.64875548000001</v>
      </c>
      <c r="P21" s="10">
        <v>34.693421000000001</v>
      </c>
      <c r="Q21" s="10">
        <v>12.181995359999998</v>
      </c>
      <c r="R21" s="10">
        <v>122.58239131000001</v>
      </c>
      <c r="S21" s="10" t="s">
        <v>69</v>
      </c>
      <c r="T21" s="10">
        <v>22.426614069999999</v>
      </c>
      <c r="U21" s="10">
        <v>37.424845469999994</v>
      </c>
      <c r="V21" s="10">
        <v>711.67438985000001</v>
      </c>
      <c r="W21" s="10">
        <v>235.39463611000002</v>
      </c>
      <c r="X21" s="10">
        <v>6.2274930300000007</v>
      </c>
      <c r="Y21" s="10">
        <v>-39.893669770000002</v>
      </c>
      <c r="Z21" s="10">
        <v>0.29560378999999998</v>
      </c>
      <c r="AA21" s="10" t="s">
        <v>69</v>
      </c>
      <c r="AB21" s="10">
        <v>7.8597060299999999</v>
      </c>
      <c r="AC21" s="10">
        <v>424.68531872000005</v>
      </c>
      <c r="AD21" s="10">
        <v>686.67986398999994</v>
      </c>
      <c r="AE21" s="10">
        <v>272.92031334000001</v>
      </c>
      <c r="AF21" s="10">
        <v>81.038506819999995</v>
      </c>
      <c r="AG21" s="10">
        <v>24.494035179999994</v>
      </c>
      <c r="AH21" s="10" t="s">
        <v>69</v>
      </c>
      <c r="AI21" s="10">
        <v>3.3210283800000018</v>
      </c>
    </row>
    <row r="22" spans="1:35" ht="15.75" x14ac:dyDescent="0.25">
      <c r="A22" s="13">
        <v>37987</v>
      </c>
      <c r="B22" s="10">
        <v>1227</v>
      </c>
      <c r="C22" s="10">
        <v>54.2</v>
      </c>
      <c r="D22" s="10">
        <v>1869.3</v>
      </c>
      <c r="E22" s="10">
        <v>837.2</v>
      </c>
      <c r="F22" s="10">
        <v>119.4</v>
      </c>
      <c r="G22" s="10">
        <v>606.9</v>
      </c>
      <c r="H22" s="10">
        <v>191.11271687999999</v>
      </c>
      <c r="I22" s="10">
        <v>52.453128639999996</v>
      </c>
      <c r="J22" s="10">
        <v>26.769039869999997</v>
      </c>
      <c r="K22" s="10">
        <v>216.8</v>
      </c>
      <c r="L22" s="10">
        <v>100</v>
      </c>
      <c r="M22" s="10">
        <v>101.13311747</v>
      </c>
      <c r="N22" s="10">
        <v>63.950052409999991</v>
      </c>
      <c r="O22" s="10">
        <v>52.296991299999995</v>
      </c>
      <c r="P22" s="10">
        <v>18.288772139999999</v>
      </c>
      <c r="Q22" s="10">
        <v>12.057320990000001</v>
      </c>
      <c r="R22" s="10">
        <v>29.9</v>
      </c>
      <c r="S22" s="10" t="s">
        <v>69</v>
      </c>
      <c r="T22" s="10">
        <v>28.337778549999996</v>
      </c>
      <c r="U22" s="10">
        <v>34.974500279999994</v>
      </c>
      <c r="V22" s="10">
        <v>639.70000000000005</v>
      </c>
      <c r="W22" s="10">
        <v>219.46774791999999</v>
      </c>
      <c r="X22" s="10">
        <v>5.7174369500000006</v>
      </c>
      <c r="Y22" s="10">
        <v>30.007089430000001</v>
      </c>
      <c r="Z22" s="10">
        <v>0.41242788000000002</v>
      </c>
      <c r="AA22" s="10" t="s">
        <v>69</v>
      </c>
      <c r="AB22" s="10">
        <v>42.489013589999999</v>
      </c>
      <c r="AC22" s="10">
        <v>628.15643590999991</v>
      </c>
      <c r="AD22" s="10">
        <v>1014.90020379</v>
      </c>
      <c r="AE22" s="10">
        <v>391.12305447000011</v>
      </c>
      <c r="AF22" s="10">
        <v>116.89332383000003</v>
      </c>
      <c r="AG22" s="10">
        <v>31.126510969999998</v>
      </c>
      <c r="AH22" s="10" t="s">
        <v>69</v>
      </c>
      <c r="AI22" s="10">
        <v>7.2530891399999957</v>
      </c>
    </row>
    <row r="23" spans="1:35" ht="15.75" x14ac:dyDescent="0.25">
      <c r="A23" s="13">
        <v>38018</v>
      </c>
      <c r="B23" s="10">
        <v>1008.1</v>
      </c>
      <c r="C23" s="10">
        <v>50.6</v>
      </c>
      <c r="D23" s="10">
        <v>1575.5</v>
      </c>
      <c r="E23" s="10">
        <v>774.7</v>
      </c>
      <c r="F23" s="10">
        <v>120.2</v>
      </c>
      <c r="G23" s="10">
        <v>514.4</v>
      </c>
      <c r="H23" s="10">
        <v>173.97567599000001</v>
      </c>
      <c r="I23" s="10">
        <v>54.638753449999996</v>
      </c>
      <c r="J23" s="10">
        <v>20.993711700000002</v>
      </c>
      <c r="K23" s="10">
        <v>196.7</v>
      </c>
      <c r="L23" s="10">
        <v>100</v>
      </c>
      <c r="M23" s="10">
        <v>155.16673913999998</v>
      </c>
      <c r="N23" s="10">
        <v>112.98520282</v>
      </c>
      <c r="O23" s="10">
        <v>106.52193220000001</v>
      </c>
      <c r="P23" s="10">
        <v>28.071309329999995</v>
      </c>
      <c r="Q23" s="10">
        <v>11.78445818</v>
      </c>
      <c r="R23" s="10">
        <v>110.6</v>
      </c>
      <c r="S23" s="10" t="s">
        <v>69</v>
      </c>
      <c r="T23" s="10">
        <v>24.40373744</v>
      </c>
      <c r="U23" s="10">
        <v>31.92357067</v>
      </c>
      <c r="V23" s="10">
        <v>625.6</v>
      </c>
      <c r="W23" s="10">
        <v>197.05867813999998</v>
      </c>
      <c r="X23" s="10">
        <v>5.31854914</v>
      </c>
      <c r="Y23" s="10">
        <v>3.39755E-3</v>
      </c>
      <c r="Z23" s="10">
        <v>0.21717962999999998</v>
      </c>
      <c r="AA23" s="10" t="s">
        <v>69</v>
      </c>
      <c r="AB23" s="10">
        <v>32.320254099999993</v>
      </c>
      <c r="AC23" s="10">
        <v>477.16750380999997</v>
      </c>
      <c r="AD23" s="10">
        <v>748.07946370999991</v>
      </c>
      <c r="AE23" s="10">
        <v>301.64712180999999</v>
      </c>
      <c r="AF23" s="10">
        <v>92.35918421999996</v>
      </c>
      <c r="AG23" s="10">
        <v>27.265869910000006</v>
      </c>
      <c r="AH23" s="10" t="s">
        <v>69</v>
      </c>
      <c r="AI23" s="10">
        <v>-7.0595385199999976</v>
      </c>
    </row>
    <row r="24" spans="1:35" ht="15.75" x14ac:dyDescent="0.25">
      <c r="A24" s="13">
        <v>38047</v>
      </c>
      <c r="B24" s="10">
        <v>976.4</v>
      </c>
      <c r="C24" s="10">
        <v>62.9</v>
      </c>
      <c r="D24" s="10">
        <v>1524.3</v>
      </c>
      <c r="E24" s="10">
        <v>964.3</v>
      </c>
      <c r="F24" s="10">
        <v>120.6</v>
      </c>
      <c r="G24" s="10">
        <v>607.29999999999995</v>
      </c>
      <c r="H24" s="10">
        <v>196.41876811999998</v>
      </c>
      <c r="I24" s="10">
        <v>52.173549280000003</v>
      </c>
      <c r="J24" s="10">
        <v>36.869752980000001</v>
      </c>
      <c r="K24" s="10">
        <v>186.8</v>
      </c>
      <c r="L24" s="10">
        <v>100</v>
      </c>
      <c r="M24" s="10">
        <v>175.91004009</v>
      </c>
      <c r="N24" s="10">
        <v>113.68732377999999</v>
      </c>
      <c r="O24" s="10">
        <v>103.80326739000002</v>
      </c>
      <c r="P24" s="10">
        <v>23.883574470000003</v>
      </c>
      <c r="Q24" s="10">
        <v>10.59804935</v>
      </c>
      <c r="R24" s="10">
        <v>23.4</v>
      </c>
      <c r="S24" s="10" t="s">
        <v>69</v>
      </c>
      <c r="T24" s="10">
        <v>27.845591680000005</v>
      </c>
      <c r="U24" s="10">
        <v>31.919241939999999</v>
      </c>
      <c r="V24" s="10">
        <v>700.7</v>
      </c>
      <c r="W24" s="10">
        <v>242.45542931</v>
      </c>
      <c r="X24" s="10">
        <v>6.3333190899999998</v>
      </c>
      <c r="Y24" s="10">
        <v>-1.79608798</v>
      </c>
      <c r="Z24" s="10">
        <v>0.20993966</v>
      </c>
      <c r="AA24" s="10" t="s">
        <v>69</v>
      </c>
      <c r="AB24" s="10">
        <v>33.306189340000003</v>
      </c>
      <c r="AC24" s="10">
        <v>482.59091555000003</v>
      </c>
      <c r="AD24" s="10">
        <v>698.76932448000002</v>
      </c>
      <c r="AE24" s="10">
        <v>295.08459015</v>
      </c>
      <c r="AF24" s="10">
        <v>96.936409130000015</v>
      </c>
      <c r="AG24" s="10">
        <v>31.162105400000005</v>
      </c>
      <c r="AH24" s="10" t="s">
        <v>69</v>
      </c>
      <c r="AI24" s="10">
        <v>3.5474525400000054</v>
      </c>
    </row>
    <row r="25" spans="1:35" ht="15.75" x14ac:dyDescent="0.25">
      <c r="A25" s="13">
        <v>38078</v>
      </c>
      <c r="B25" s="10">
        <v>1117.94723559</v>
      </c>
      <c r="C25" s="10">
        <v>57.61794587</v>
      </c>
      <c r="D25" s="10">
        <v>1576.2787102499999</v>
      </c>
      <c r="E25" s="10">
        <v>916.51567105000004</v>
      </c>
      <c r="F25" s="10">
        <v>112.12041144</v>
      </c>
      <c r="G25" s="10">
        <v>571.80479722999996</v>
      </c>
      <c r="H25" s="10">
        <v>141.41231207000001</v>
      </c>
      <c r="I25" s="10">
        <v>61.084837629999988</v>
      </c>
      <c r="J25" s="10">
        <v>14.624996289999999</v>
      </c>
      <c r="K25" s="10">
        <v>194.34139848999999</v>
      </c>
      <c r="L25" s="10">
        <v>130</v>
      </c>
      <c r="M25" s="10">
        <v>128.15284765999999</v>
      </c>
      <c r="N25" s="10">
        <v>163.34705719999999</v>
      </c>
      <c r="O25" s="10">
        <v>146.43106897999999</v>
      </c>
      <c r="P25" s="10">
        <v>27.008439709999998</v>
      </c>
      <c r="Q25" s="10">
        <v>11.70900492</v>
      </c>
      <c r="R25" s="10">
        <v>74.057174849999996</v>
      </c>
      <c r="S25" s="10" t="s">
        <v>69</v>
      </c>
      <c r="T25" s="10">
        <v>26.181868910000009</v>
      </c>
      <c r="U25" s="10">
        <v>33.320550019999999</v>
      </c>
      <c r="V25" s="10">
        <v>1031.3109612999999</v>
      </c>
      <c r="W25" s="10">
        <v>232.97724498000005</v>
      </c>
      <c r="X25" s="10">
        <v>6.4331929700000012</v>
      </c>
      <c r="Y25" s="10">
        <v>-0.98745151999999992</v>
      </c>
      <c r="Z25" s="10">
        <v>0.33679978000000005</v>
      </c>
      <c r="AA25" s="10" t="s">
        <v>69</v>
      </c>
      <c r="AB25" s="10">
        <v>29.659777730000009</v>
      </c>
      <c r="AC25" s="10">
        <v>500.05681191000002</v>
      </c>
      <c r="AD25" s="10">
        <v>709.13432582999985</v>
      </c>
      <c r="AE25" s="10">
        <v>296.44506833999998</v>
      </c>
      <c r="AF25" s="10">
        <v>96.464124300000009</v>
      </c>
      <c r="AG25" s="10">
        <v>29.575207609999993</v>
      </c>
      <c r="AH25" s="10" t="s">
        <v>69</v>
      </c>
      <c r="AI25" s="10">
        <v>1.743365249999995</v>
      </c>
    </row>
    <row r="26" spans="1:35" ht="15.75" x14ac:dyDescent="0.25">
      <c r="A26" s="13">
        <v>38108</v>
      </c>
      <c r="B26" s="10">
        <v>5365.85699948</v>
      </c>
      <c r="C26" s="10">
        <v>66.620735279999991</v>
      </c>
      <c r="D26" s="10">
        <v>1578.0329220599999</v>
      </c>
      <c r="E26" s="10">
        <v>1089.21498023</v>
      </c>
      <c r="F26" s="10">
        <v>112.82011113999999</v>
      </c>
      <c r="G26" s="10">
        <v>670.13762697000004</v>
      </c>
      <c r="H26" s="10">
        <v>184.50399257999999</v>
      </c>
      <c r="I26" s="10">
        <v>58.99132281</v>
      </c>
      <c r="J26" s="10">
        <v>34.289595199999987</v>
      </c>
      <c r="K26" s="10">
        <v>195.08432751000001</v>
      </c>
      <c r="L26" s="10">
        <v>100</v>
      </c>
      <c r="M26" s="10">
        <v>136.88798317999999</v>
      </c>
      <c r="N26" s="10">
        <v>171.0901398</v>
      </c>
      <c r="O26" s="10">
        <v>137.44703497</v>
      </c>
      <c r="P26" s="10">
        <v>24.494925850000005</v>
      </c>
      <c r="Q26" s="10">
        <v>11.951940840000001</v>
      </c>
      <c r="R26" s="10">
        <v>680.82509431000005</v>
      </c>
      <c r="S26" s="10" t="s">
        <v>69</v>
      </c>
      <c r="T26" s="10">
        <v>26.648548380000005</v>
      </c>
      <c r="U26" s="10">
        <v>34.114973150000004</v>
      </c>
      <c r="V26" s="10">
        <v>1081.6158324200001</v>
      </c>
      <c r="W26" s="10">
        <v>248.9278487</v>
      </c>
      <c r="X26" s="10">
        <v>6.4403895699999998</v>
      </c>
      <c r="Y26" s="10">
        <v>-2.5065031499999999</v>
      </c>
      <c r="Z26" s="10">
        <v>0.19245480000000001</v>
      </c>
      <c r="AA26" s="10" t="s">
        <v>69</v>
      </c>
      <c r="AB26" s="10">
        <v>33.317394020000002</v>
      </c>
      <c r="AC26" s="10">
        <v>513.95509991000017</v>
      </c>
      <c r="AD26" s="10">
        <v>801.73381465</v>
      </c>
      <c r="AE26" s="10">
        <v>312.50783174999998</v>
      </c>
      <c r="AF26" s="10">
        <v>99.744685130000022</v>
      </c>
      <c r="AG26" s="10">
        <v>29.739130070000002</v>
      </c>
      <c r="AH26" s="10" t="s">
        <v>69</v>
      </c>
      <c r="AI26" s="10">
        <v>13.651879199999996</v>
      </c>
    </row>
    <row r="27" spans="1:35" ht="15.75" x14ac:dyDescent="0.25">
      <c r="A27" s="13">
        <v>38139</v>
      </c>
      <c r="B27" s="10">
        <v>2830.8041929700003</v>
      </c>
      <c r="C27" s="10">
        <v>82.126302780000003</v>
      </c>
      <c r="D27" s="10">
        <v>1766.8512348699999</v>
      </c>
      <c r="E27" s="10">
        <v>1227.7428943899999</v>
      </c>
      <c r="F27" s="10">
        <v>100.11365128</v>
      </c>
      <c r="G27" s="10">
        <v>652.07378001999996</v>
      </c>
      <c r="H27" s="10">
        <v>177.03552626000001</v>
      </c>
      <c r="I27" s="10">
        <v>55.206101330000003</v>
      </c>
      <c r="J27" s="10">
        <v>25.824685229999996</v>
      </c>
      <c r="K27" s="10">
        <v>95.150188459999995</v>
      </c>
      <c r="L27" s="10">
        <v>120</v>
      </c>
      <c r="M27" s="10">
        <v>127.36880445</v>
      </c>
      <c r="N27" s="10">
        <v>126.81103014999999</v>
      </c>
      <c r="O27" s="10">
        <v>129.14615540000003</v>
      </c>
      <c r="P27" s="10">
        <v>27.790492140000005</v>
      </c>
      <c r="Q27" s="10">
        <v>13.04331423</v>
      </c>
      <c r="R27" s="10">
        <v>213.59723756</v>
      </c>
      <c r="S27" s="10" t="s">
        <v>69</v>
      </c>
      <c r="T27" s="10">
        <v>9.3610626400000001</v>
      </c>
      <c r="U27" s="10">
        <v>33.045203119999989</v>
      </c>
      <c r="V27" s="10">
        <v>858.15551893999998</v>
      </c>
      <c r="W27" s="10">
        <v>278.32569353000002</v>
      </c>
      <c r="X27" s="10">
        <v>7.0268435199999981</v>
      </c>
      <c r="Y27" s="10">
        <v>-3.26628199</v>
      </c>
      <c r="Z27" s="10">
        <v>0.34889740000000002</v>
      </c>
      <c r="AA27" s="10" t="s">
        <v>69</v>
      </c>
      <c r="AB27" s="10">
        <v>37.135465330000002</v>
      </c>
      <c r="AC27" s="10">
        <v>481.94991612999996</v>
      </c>
      <c r="AD27" s="10">
        <v>754.80030216999978</v>
      </c>
      <c r="AE27" s="10">
        <v>298.93566052</v>
      </c>
      <c r="AF27" s="10">
        <v>98.958261960000016</v>
      </c>
      <c r="AG27" s="10">
        <v>12.682606709999998</v>
      </c>
      <c r="AH27" s="10" t="s">
        <v>69</v>
      </c>
      <c r="AI27" s="10">
        <v>6.674173580000005</v>
      </c>
    </row>
    <row r="28" spans="1:35" ht="15.75" x14ac:dyDescent="0.25">
      <c r="A28" s="13">
        <v>38169</v>
      </c>
      <c r="B28" s="10">
        <v>1553.5964710100002</v>
      </c>
      <c r="C28" s="10">
        <v>85.16467990000001</v>
      </c>
      <c r="D28" s="10">
        <v>1717.7804348000002</v>
      </c>
      <c r="E28" s="10">
        <v>1188.7254767300001</v>
      </c>
      <c r="F28" s="10">
        <v>91.332184459999993</v>
      </c>
      <c r="G28" s="10">
        <v>673.02197815</v>
      </c>
      <c r="H28" s="10">
        <v>171.58916787999999</v>
      </c>
      <c r="I28" s="10">
        <v>62.308378699999984</v>
      </c>
      <c r="J28" s="10">
        <v>25.054751519999993</v>
      </c>
      <c r="K28" s="10">
        <v>88.347106190000005</v>
      </c>
      <c r="L28" s="10">
        <v>155</v>
      </c>
      <c r="M28" s="10">
        <v>121.0981362</v>
      </c>
      <c r="N28" s="10">
        <v>122.01613582000002</v>
      </c>
      <c r="O28" s="10">
        <v>132.15023131999999</v>
      </c>
      <c r="P28" s="10">
        <v>25.460799290000008</v>
      </c>
      <c r="Q28" s="10">
        <v>12.23235667</v>
      </c>
      <c r="R28" s="10">
        <v>101.48497896999999</v>
      </c>
      <c r="S28" s="10" t="s">
        <v>69</v>
      </c>
      <c r="T28" s="10">
        <v>63.989730570000006</v>
      </c>
      <c r="U28" s="10">
        <v>35.342950489999993</v>
      </c>
      <c r="V28" s="10">
        <v>990.05164188999993</v>
      </c>
      <c r="W28" s="10">
        <v>281.38489478000002</v>
      </c>
      <c r="X28" s="10">
        <v>7.1017643100000001</v>
      </c>
      <c r="Y28" s="10">
        <v>-4.9911076400000001</v>
      </c>
      <c r="Z28" s="10">
        <v>0.22846538999999999</v>
      </c>
      <c r="AA28" s="10" t="s">
        <v>69</v>
      </c>
      <c r="AB28" s="10">
        <v>36.017790339999998</v>
      </c>
      <c r="AC28" s="10">
        <v>692.54593439999996</v>
      </c>
      <c r="AD28" s="10">
        <v>1138.1312445099995</v>
      </c>
      <c r="AE28" s="10">
        <v>442.07696561999984</v>
      </c>
      <c r="AF28" s="10">
        <v>130.66580289999999</v>
      </c>
      <c r="AG28" s="10">
        <v>56.883571629999992</v>
      </c>
      <c r="AH28" s="10" t="s">
        <v>69</v>
      </c>
      <c r="AI28" s="10">
        <v>83.180666779999996</v>
      </c>
    </row>
    <row r="29" spans="1:35" ht="15.75" x14ac:dyDescent="0.25">
      <c r="A29" s="13">
        <v>38200</v>
      </c>
      <c r="B29" s="10">
        <v>1648.1130331900001</v>
      </c>
      <c r="C29" s="10">
        <v>89.6736918</v>
      </c>
      <c r="D29" s="10">
        <v>1796.6449988300001</v>
      </c>
      <c r="E29" s="10">
        <v>1202.28008585</v>
      </c>
      <c r="F29" s="10">
        <v>83.723908890000004</v>
      </c>
      <c r="G29" s="10">
        <v>652.38056314000005</v>
      </c>
      <c r="H29" s="10">
        <v>198.56903083</v>
      </c>
      <c r="I29" s="10">
        <v>62.655562549999999</v>
      </c>
      <c r="J29" s="10">
        <v>30.41718646</v>
      </c>
      <c r="K29" s="10">
        <v>132.45520654000001</v>
      </c>
      <c r="L29" s="10">
        <v>165</v>
      </c>
      <c r="M29" s="10">
        <v>133.37868569</v>
      </c>
      <c r="N29" s="10">
        <v>150.63010774</v>
      </c>
      <c r="O29" s="10">
        <v>129.7036268</v>
      </c>
      <c r="P29" s="10">
        <v>27.620144789999998</v>
      </c>
      <c r="Q29" s="10">
        <v>15.36269186</v>
      </c>
      <c r="R29" s="10">
        <v>127.75675595999999</v>
      </c>
      <c r="S29" s="10" t="s">
        <v>69</v>
      </c>
      <c r="T29" s="10">
        <v>52.046575990000008</v>
      </c>
      <c r="U29" s="10">
        <v>38.304392140000012</v>
      </c>
      <c r="V29" s="10">
        <v>886.05102091000003</v>
      </c>
      <c r="W29" s="10">
        <v>291.25456303000004</v>
      </c>
      <c r="X29" s="10">
        <v>7.3261298599999991</v>
      </c>
      <c r="Y29" s="10">
        <v>5.2083099999999998E-3</v>
      </c>
      <c r="Z29" s="10">
        <v>0.25947799999999993</v>
      </c>
      <c r="AA29" s="10" t="s">
        <v>69</v>
      </c>
      <c r="AB29" s="10">
        <v>39.457227029999999</v>
      </c>
      <c r="AC29" s="10">
        <v>502.55252882000013</v>
      </c>
      <c r="AD29" s="10">
        <v>796.98425538000015</v>
      </c>
      <c r="AE29" s="10">
        <v>314.28403418000005</v>
      </c>
      <c r="AF29" s="10">
        <v>104.64011156999999</v>
      </c>
      <c r="AG29" s="10">
        <v>41.088980079999999</v>
      </c>
      <c r="AH29" s="10" t="s">
        <v>69</v>
      </c>
      <c r="AI29" s="10">
        <v>146.79946333000001</v>
      </c>
    </row>
    <row r="30" spans="1:35" ht="15.75" x14ac:dyDescent="0.25">
      <c r="A30" s="13">
        <v>38231</v>
      </c>
      <c r="B30" s="10">
        <v>1417.5</v>
      </c>
      <c r="C30" s="10">
        <v>82.2</v>
      </c>
      <c r="D30" s="10">
        <v>1757.9</v>
      </c>
      <c r="E30" s="10">
        <v>1152.3</v>
      </c>
      <c r="F30" s="10">
        <v>90.1</v>
      </c>
      <c r="G30" s="10">
        <v>665.1</v>
      </c>
      <c r="H30" s="10">
        <v>192.93004870999999</v>
      </c>
      <c r="I30" s="10">
        <v>68.76517582999999</v>
      </c>
      <c r="J30" s="10">
        <v>27.671802599999996</v>
      </c>
      <c r="K30" s="10">
        <v>151.19999999999999</v>
      </c>
      <c r="L30" s="10">
        <v>100</v>
      </c>
      <c r="M30" s="10">
        <v>165.53945930999998</v>
      </c>
      <c r="N30" s="10">
        <v>89.424968449999994</v>
      </c>
      <c r="O30" s="10">
        <v>128.46734074</v>
      </c>
      <c r="P30" s="10">
        <v>26.270550010000001</v>
      </c>
      <c r="Q30" s="10">
        <v>16.447257459999999</v>
      </c>
      <c r="R30" s="10">
        <v>30.7</v>
      </c>
      <c r="S30" s="10" t="s">
        <v>69</v>
      </c>
      <c r="T30" s="10">
        <v>72.93705215</v>
      </c>
      <c r="U30" s="10">
        <v>35.885489870000008</v>
      </c>
      <c r="V30" s="10">
        <v>880.8</v>
      </c>
      <c r="W30" s="10">
        <v>292.41883194999997</v>
      </c>
      <c r="X30" s="10">
        <v>7.3537294500000003</v>
      </c>
      <c r="Y30" s="10">
        <v>-2.1878788599999996</v>
      </c>
      <c r="Z30" s="10">
        <v>0.40639463000000009</v>
      </c>
      <c r="AA30" s="10" t="s">
        <v>69</v>
      </c>
      <c r="AB30" s="10">
        <v>39.409302309999994</v>
      </c>
      <c r="AC30" s="10">
        <v>530.97988191000024</v>
      </c>
      <c r="AD30" s="10">
        <v>968.73082717999978</v>
      </c>
      <c r="AE30" s="10">
        <v>314.83267544999984</v>
      </c>
      <c r="AF30" s="10">
        <v>103.38702038000001</v>
      </c>
      <c r="AG30" s="10">
        <v>60.674349719999995</v>
      </c>
      <c r="AH30" s="10" t="s">
        <v>69</v>
      </c>
      <c r="AI30" s="10">
        <v>-165.67588929000001</v>
      </c>
    </row>
    <row r="31" spans="1:35" ht="15.75" x14ac:dyDescent="0.25">
      <c r="A31" s="13">
        <v>38261</v>
      </c>
      <c r="B31" s="10">
        <v>1613.1</v>
      </c>
      <c r="C31" s="10">
        <v>79.3</v>
      </c>
      <c r="D31" s="10">
        <v>1660.2</v>
      </c>
      <c r="E31" s="10">
        <v>1108.7</v>
      </c>
      <c r="F31" s="10">
        <v>91.1</v>
      </c>
      <c r="G31" s="10">
        <v>644.29999999999995</v>
      </c>
      <c r="H31" s="10">
        <v>200.91760833000001</v>
      </c>
      <c r="I31" s="10">
        <v>68.128464939999972</v>
      </c>
      <c r="J31" s="10">
        <v>23.370565200000001</v>
      </c>
      <c r="K31" s="10">
        <v>199.3</v>
      </c>
      <c r="L31" s="10">
        <v>120</v>
      </c>
      <c r="M31" s="10">
        <v>122.46606764000001</v>
      </c>
      <c r="N31" s="10">
        <v>136.84776256999999</v>
      </c>
      <c r="O31" s="10">
        <v>132.93868135999998</v>
      </c>
      <c r="P31" s="10">
        <v>27.194212509999996</v>
      </c>
      <c r="Q31" s="10">
        <v>14.15588571</v>
      </c>
      <c r="R31" s="10">
        <v>127.2</v>
      </c>
      <c r="S31" s="10" t="s">
        <v>69</v>
      </c>
      <c r="T31" s="10">
        <v>58.570600829999997</v>
      </c>
      <c r="U31" s="10">
        <v>33.58519046</v>
      </c>
      <c r="V31" s="10">
        <v>894.1</v>
      </c>
      <c r="W31" s="10">
        <v>264.62381847</v>
      </c>
      <c r="X31" s="10">
        <v>6.8837612600000009</v>
      </c>
      <c r="Y31" s="10">
        <v>4.6434900000000001E-3</v>
      </c>
      <c r="Z31" s="10">
        <v>0.36259052999999997</v>
      </c>
      <c r="AA31" s="10" t="s">
        <v>69</v>
      </c>
      <c r="AB31" s="10">
        <v>35.559568970000008</v>
      </c>
      <c r="AC31" s="10">
        <v>519.18712753000023</v>
      </c>
      <c r="AD31" s="10">
        <v>844.24705925000035</v>
      </c>
      <c r="AE31" s="10">
        <v>310.30435505999992</v>
      </c>
      <c r="AF31" s="10">
        <v>104.41318914000001</v>
      </c>
      <c r="AG31" s="10">
        <v>47.500169449999987</v>
      </c>
      <c r="AH31" s="10" t="s">
        <v>69</v>
      </c>
      <c r="AI31" s="10">
        <v>5.2183992099999905</v>
      </c>
    </row>
    <row r="32" spans="1:35" ht="15.75" x14ac:dyDescent="0.25">
      <c r="A32" s="13">
        <v>38292</v>
      </c>
      <c r="B32" s="10">
        <v>1645.4</v>
      </c>
      <c r="C32" s="10">
        <v>90.8</v>
      </c>
      <c r="D32" s="10">
        <v>1671.5</v>
      </c>
      <c r="E32" s="10">
        <v>1280.5</v>
      </c>
      <c r="F32" s="10">
        <v>90.3</v>
      </c>
      <c r="G32" s="10">
        <v>686.7</v>
      </c>
      <c r="H32" s="10">
        <v>215.51179021999997</v>
      </c>
      <c r="I32" s="10">
        <v>70.810362589999997</v>
      </c>
      <c r="J32" s="10">
        <v>38.194312149999988</v>
      </c>
      <c r="K32" s="10">
        <v>265.89999999999998</v>
      </c>
      <c r="L32" s="10">
        <v>250</v>
      </c>
      <c r="M32" s="10">
        <v>151.47062966999999</v>
      </c>
      <c r="N32" s="10">
        <v>142.07398615999998</v>
      </c>
      <c r="O32" s="10">
        <v>147.52858535000004</v>
      </c>
      <c r="P32" s="10">
        <v>26.655165949999997</v>
      </c>
      <c r="Q32" s="10">
        <v>13.495729799999999</v>
      </c>
      <c r="R32" s="10">
        <v>24.9</v>
      </c>
      <c r="S32" s="10" t="s">
        <v>69</v>
      </c>
      <c r="T32" s="10">
        <v>54.986884469999993</v>
      </c>
      <c r="U32" s="10">
        <v>35.403306450000002</v>
      </c>
      <c r="V32" s="10">
        <v>816.9</v>
      </c>
      <c r="W32" s="10">
        <v>321.83361769999999</v>
      </c>
      <c r="X32" s="10">
        <v>8.4718686599999984</v>
      </c>
      <c r="Y32" s="10">
        <v>-2.3972935</v>
      </c>
      <c r="Z32" s="10">
        <v>0.19613666000000005</v>
      </c>
      <c r="AA32" s="10" t="s">
        <v>69</v>
      </c>
      <c r="AB32" s="10">
        <v>42.390840710000013</v>
      </c>
      <c r="AC32" s="10">
        <v>516.37107187000004</v>
      </c>
      <c r="AD32" s="10">
        <v>853.03339347999975</v>
      </c>
      <c r="AE32" s="10">
        <v>323.04927818000004</v>
      </c>
      <c r="AF32" s="10">
        <v>107.36475861999998</v>
      </c>
      <c r="AG32" s="10">
        <v>44.329858049999991</v>
      </c>
      <c r="AH32" s="10" t="s">
        <v>69</v>
      </c>
      <c r="AI32" s="10">
        <v>36.73886155000001</v>
      </c>
    </row>
    <row r="33" spans="1:35" ht="15.75" x14ac:dyDescent="0.25">
      <c r="A33" s="13">
        <v>38322</v>
      </c>
      <c r="B33" s="10">
        <v>998.2</v>
      </c>
      <c r="C33" s="10">
        <v>85.9</v>
      </c>
      <c r="D33" s="10">
        <v>1773.4</v>
      </c>
      <c r="E33" s="10">
        <v>1237.2</v>
      </c>
      <c r="F33" s="10">
        <v>91.9</v>
      </c>
      <c r="G33" s="10">
        <v>737.8</v>
      </c>
      <c r="H33" s="10">
        <v>252.66889031000005</v>
      </c>
      <c r="I33" s="10">
        <v>76.755758499999999</v>
      </c>
      <c r="J33" s="10">
        <v>39.319464829999994</v>
      </c>
      <c r="K33" s="10">
        <v>348.3</v>
      </c>
      <c r="L33" s="10">
        <v>124</v>
      </c>
      <c r="M33" s="10">
        <v>134.08626961000002</v>
      </c>
      <c r="N33" s="10">
        <v>284.67278020999998</v>
      </c>
      <c r="O33" s="10">
        <v>219.37135845000003</v>
      </c>
      <c r="P33" s="10">
        <v>44.54393378999999</v>
      </c>
      <c r="Q33" s="10">
        <v>12.393211299999999</v>
      </c>
      <c r="R33" s="10">
        <v>116.5</v>
      </c>
      <c r="S33" s="10" t="s">
        <v>69</v>
      </c>
      <c r="T33" s="10">
        <v>54.067122950000005</v>
      </c>
      <c r="U33" s="10">
        <v>37.917401369999993</v>
      </c>
      <c r="V33" s="10">
        <v>867</v>
      </c>
      <c r="W33" s="10">
        <v>297.64173138000001</v>
      </c>
      <c r="X33" s="10">
        <v>7.6763629600000014</v>
      </c>
      <c r="Y33" s="10">
        <v>-0.79757874999999989</v>
      </c>
      <c r="Z33" s="10">
        <v>0.44300864000000001</v>
      </c>
      <c r="AA33" s="10" t="s">
        <v>69</v>
      </c>
      <c r="AB33" s="10">
        <v>38.51535595</v>
      </c>
      <c r="AC33" s="10">
        <v>529.52897972000005</v>
      </c>
      <c r="AD33" s="10">
        <v>838.34596885999974</v>
      </c>
      <c r="AE33" s="10">
        <v>331.91845559999996</v>
      </c>
      <c r="AF33" s="10">
        <v>108.10676725000002</v>
      </c>
      <c r="AG33" s="10">
        <v>43.954795430000004</v>
      </c>
      <c r="AH33" s="10" t="s">
        <v>69</v>
      </c>
      <c r="AI33" s="10">
        <v>56.267552600000002</v>
      </c>
    </row>
    <row r="34" spans="1:35" ht="15.75" x14ac:dyDescent="0.25">
      <c r="A34" s="13">
        <v>38353</v>
      </c>
      <c r="B34" s="10">
        <v>1650.3</v>
      </c>
      <c r="C34" s="10">
        <v>78.2</v>
      </c>
      <c r="D34" s="10">
        <v>2103.4</v>
      </c>
      <c r="E34" s="10">
        <v>1084.0999999999999</v>
      </c>
      <c r="F34" s="10">
        <v>108.3</v>
      </c>
      <c r="G34" s="10">
        <v>688.4</v>
      </c>
      <c r="H34" s="10">
        <v>214.74112006999999</v>
      </c>
      <c r="I34" s="10">
        <v>85.571351179999994</v>
      </c>
      <c r="J34" s="10">
        <v>29.476796869999998</v>
      </c>
      <c r="K34" s="10">
        <v>217.5</v>
      </c>
      <c r="L34" s="10">
        <v>120</v>
      </c>
      <c r="M34" s="10">
        <v>129.86234425000001</v>
      </c>
      <c r="N34" s="10">
        <v>71.794955639999998</v>
      </c>
      <c r="O34" s="10">
        <v>61.313907120000003</v>
      </c>
      <c r="P34" s="10">
        <v>14.320737960000001</v>
      </c>
      <c r="Q34" s="10">
        <v>12.262972319999999</v>
      </c>
      <c r="R34" s="10">
        <v>25.2</v>
      </c>
      <c r="S34" s="10" t="s">
        <v>69</v>
      </c>
      <c r="T34" s="10">
        <v>57.209001520000015</v>
      </c>
      <c r="U34" s="10">
        <v>42.551591099999492</v>
      </c>
      <c r="V34" s="10">
        <v>829.7</v>
      </c>
      <c r="W34" s="10">
        <v>254.45134503000003</v>
      </c>
      <c r="X34" s="10">
        <v>6.9607060199999991</v>
      </c>
      <c r="Y34" s="10">
        <v>-0.49329513000000003</v>
      </c>
      <c r="Z34" s="10">
        <v>0.35418628999999996</v>
      </c>
      <c r="AA34" s="10" t="s">
        <v>69</v>
      </c>
      <c r="AB34" s="10">
        <v>35.107884320000004</v>
      </c>
      <c r="AC34" s="10">
        <v>764.23830680000003</v>
      </c>
      <c r="AD34" s="10">
        <v>1202.7143149999999</v>
      </c>
      <c r="AE34" s="10">
        <v>473.63603200000006</v>
      </c>
      <c r="AF34" s="10">
        <v>143.14037579999999</v>
      </c>
      <c r="AG34" s="10">
        <v>45.601786419999996</v>
      </c>
      <c r="AH34" s="10" t="s">
        <v>69</v>
      </c>
      <c r="AI34" s="10">
        <v>39.198350599999991</v>
      </c>
    </row>
    <row r="35" spans="1:35" ht="15.75" x14ac:dyDescent="0.25">
      <c r="A35" s="13">
        <v>38384</v>
      </c>
      <c r="B35" s="10">
        <v>1783</v>
      </c>
      <c r="C35" s="10">
        <v>72.7</v>
      </c>
      <c r="D35" s="10">
        <v>1686.6</v>
      </c>
      <c r="E35" s="10">
        <v>1055.9000000000001</v>
      </c>
      <c r="F35" s="10">
        <v>90.1</v>
      </c>
      <c r="G35" s="10">
        <v>648.1</v>
      </c>
      <c r="H35" s="10">
        <v>217.69643099000001</v>
      </c>
      <c r="I35" s="10">
        <v>64.267209100000002</v>
      </c>
      <c r="J35" s="10">
        <v>23.860031309999997</v>
      </c>
      <c r="K35" s="10">
        <v>197.3</v>
      </c>
      <c r="L35" s="10">
        <v>120</v>
      </c>
      <c r="M35" s="10">
        <v>199.06558658999998</v>
      </c>
      <c r="N35" s="10">
        <v>148.55337438000001</v>
      </c>
      <c r="O35" s="10">
        <v>140.27049228000001</v>
      </c>
      <c r="P35" s="10">
        <v>28.245839620000002</v>
      </c>
      <c r="Q35" s="10">
        <v>12.495977290000001</v>
      </c>
      <c r="R35" s="10">
        <v>108.4</v>
      </c>
      <c r="S35" s="10" t="s">
        <v>69</v>
      </c>
      <c r="T35" s="10">
        <v>62.154714539999993</v>
      </c>
      <c r="U35" s="10">
        <v>42.156359779999505</v>
      </c>
      <c r="V35" s="10">
        <v>768.9</v>
      </c>
      <c r="W35" s="10">
        <v>250.36786557999994</v>
      </c>
      <c r="X35" s="10">
        <v>6.6392997699999992</v>
      </c>
      <c r="Y35" s="10">
        <v>-0.99410053999999992</v>
      </c>
      <c r="Z35" s="10">
        <v>0.28745850000000001</v>
      </c>
      <c r="AA35" s="10" t="s">
        <v>69</v>
      </c>
      <c r="AB35" s="10">
        <v>37.050557829999995</v>
      </c>
      <c r="AC35" s="10">
        <v>576.04678420000005</v>
      </c>
      <c r="AD35" s="10">
        <v>1000.526613</v>
      </c>
      <c r="AE35" s="10">
        <v>361.00177641999994</v>
      </c>
      <c r="AF35" s="10">
        <v>114.39622524000004</v>
      </c>
      <c r="AG35" s="10">
        <v>47.707929710000016</v>
      </c>
      <c r="AH35" s="10" t="s">
        <v>69</v>
      </c>
      <c r="AI35" s="10">
        <v>-62.699818329999978</v>
      </c>
    </row>
    <row r="36" spans="1:35" ht="15.75" x14ac:dyDescent="0.25">
      <c r="A36" s="13">
        <v>38412</v>
      </c>
      <c r="B36" s="10">
        <v>1648</v>
      </c>
      <c r="C36" s="10">
        <v>84.8</v>
      </c>
      <c r="D36" s="10">
        <v>1728.2</v>
      </c>
      <c r="E36" s="10">
        <v>1199.4000000000001</v>
      </c>
      <c r="F36" s="10">
        <v>92.3</v>
      </c>
      <c r="G36" s="10">
        <v>723.9</v>
      </c>
      <c r="H36" s="10">
        <v>219.04427688999996</v>
      </c>
      <c r="I36" s="10">
        <v>62.041843599999993</v>
      </c>
      <c r="J36" s="10">
        <v>42.791136239999993</v>
      </c>
      <c r="K36" s="10">
        <v>191.2</v>
      </c>
      <c r="L36" s="10">
        <v>130</v>
      </c>
      <c r="M36" s="10">
        <v>137.24922286000003</v>
      </c>
      <c r="N36" s="10">
        <v>128.48250571</v>
      </c>
      <c r="O36" s="10">
        <v>131.27451803999998</v>
      </c>
      <c r="P36" s="10">
        <v>25.291272680000002</v>
      </c>
      <c r="Q36" s="10">
        <v>11.921358589999999</v>
      </c>
      <c r="R36" s="10">
        <v>25.2</v>
      </c>
      <c r="S36" s="10" t="s">
        <v>69</v>
      </c>
      <c r="T36" s="10">
        <v>61.854013349999995</v>
      </c>
      <c r="U36" s="10">
        <v>37.757882239999802</v>
      </c>
      <c r="V36" s="10">
        <v>970.4</v>
      </c>
      <c r="W36" s="10">
        <v>276.22282175999999</v>
      </c>
      <c r="X36" s="10">
        <v>7.3754623099999996</v>
      </c>
      <c r="Y36" s="10">
        <v>-1.64856504</v>
      </c>
      <c r="Z36" s="10">
        <v>0.3843075600000001</v>
      </c>
      <c r="AA36" s="10" t="s">
        <v>69</v>
      </c>
      <c r="AB36" s="10">
        <v>41.041951859999998</v>
      </c>
      <c r="AC36" s="10">
        <v>559.16947949999997</v>
      </c>
      <c r="AD36" s="10">
        <v>834.16492140000003</v>
      </c>
      <c r="AE36" s="10">
        <v>347.50876437000005</v>
      </c>
      <c r="AF36" s="10">
        <v>117.34834393</v>
      </c>
      <c r="AG36" s="10">
        <v>47.67919810999998</v>
      </c>
      <c r="AH36" s="10" t="s">
        <v>69</v>
      </c>
      <c r="AI36" s="10">
        <v>9.953991169999993</v>
      </c>
    </row>
    <row r="37" spans="1:35" ht="15.75" x14ac:dyDescent="0.25">
      <c r="A37" s="13">
        <v>38443</v>
      </c>
      <c r="B37" s="10">
        <v>1873</v>
      </c>
      <c r="C37" s="10">
        <v>83.2</v>
      </c>
      <c r="D37" s="10">
        <v>1945.6</v>
      </c>
      <c r="E37" s="10">
        <v>1285.5</v>
      </c>
      <c r="F37" s="10">
        <v>91.6</v>
      </c>
      <c r="G37" s="10">
        <v>750.8</v>
      </c>
      <c r="H37" s="10">
        <v>250.58403796000007</v>
      </c>
      <c r="I37" s="10">
        <v>73.711459739999995</v>
      </c>
      <c r="J37" s="10">
        <v>25.253055549999996</v>
      </c>
      <c r="K37" s="10">
        <v>230.3</v>
      </c>
      <c r="L37" s="10">
        <v>160</v>
      </c>
      <c r="M37" s="10">
        <v>90.520507989999913</v>
      </c>
      <c r="N37" s="10">
        <v>169.77350294000001</v>
      </c>
      <c r="O37" s="10">
        <v>165.65149242000001</v>
      </c>
      <c r="P37" s="10">
        <v>27.151175689999995</v>
      </c>
      <c r="Q37" s="10">
        <v>12.03622193</v>
      </c>
      <c r="R37" s="10">
        <v>86.5</v>
      </c>
      <c r="S37" s="10" t="s">
        <v>69</v>
      </c>
      <c r="T37" s="10">
        <v>60.897398529999997</v>
      </c>
      <c r="U37" s="10">
        <v>44.10410499000001</v>
      </c>
      <c r="V37" s="10">
        <v>1220</v>
      </c>
      <c r="W37" s="10">
        <v>290.57356566999999</v>
      </c>
      <c r="X37" s="10">
        <v>7.3158716199999994</v>
      </c>
      <c r="Y37" s="10">
        <v>-0.99877215999999991</v>
      </c>
      <c r="Z37" s="10">
        <v>0.29964653999999996</v>
      </c>
      <c r="AA37" s="10" t="s">
        <v>69</v>
      </c>
      <c r="AB37" s="10">
        <v>42.311133389999995</v>
      </c>
      <c r="AC37" s="10">
        <v>574.95024249999994</v>
      </c>
      <c r="AD37" s="10">
        <v>894.59426889999997</v>
      </c>
      <c r="AE37" s="10">
        <v>342.78331775999987</v>
      </c>
      <c r="AF37" s="10">
        <v>120.26799267</v>
      </c>
      <c r="AG37" s="10">
        <v>47.259008790000003</v>
      </c>
      <c r="AH37" s="10" t="s">
        <v>69</v>
      </c>
      <c r="AI37" s="10">
        <v>10.34649138000001</v>
      </c>
    </row>
    <row r="38" spans="1:35" ht="15.75" x14ac:dyDescent="0.25">
      <c r="A38" s="13">
        <v>38473</v>
      </c>
      <c r="B38" s="10">
        <v>3619.9213988500005</v>
      </c>
      <c r="C38" s="10">
        <v>89.155564139999996</v>
      </c>
      <c r="D38" s="10">
        <v>1951.54978411</v>
      </c>
      <c r="E38" s="10">
        <v>1419.1207637500002</v>
      </c>
      <c r="F38" s="10">
        <v>96.903645400000002</v>
      </c>
      <c r="G38" s="10">
        <v>773.12975777999998</v>
      </c>
      <c r="H38" s="10">
        <v>212.29099464999999</v>
      </c>
      <c r="I38" s="10">
        <v>69.880189569999985</v>
      </c>
      <c r="J38" s="10">
        <v>45.737677609999999</v>
      </c>
      <c r="K38" s="10">
        <v>197.86645589</v>
      </c>
      <c r="L38" s="10">
        <v>130</v>
      </c>
      <c r="M38" s="10">
        <v>151.71985280000001</v>
      </c>
      <c r="N38" s="10">
        <v>163.08065821000002</v>
      </c>
      <c r="O38" s="10">
        <v>156.92789830999999</v>
      </c>
      <c r="P38" s="10">
        <v>27.242049439999999</v>
      </c>
      <c r="Q38" s="10">
        <v>12.311622700000001</v>
      </c>
      <c r="R38" s="10">
        <v>730.07253349999996</v>
      </c>
      <c r="S38" s="10" t="s">
        <v>69</v>
      </c>
      <c r="T38" s="10">
        <v>61.961787990000012</v>
      </c>
      <c r="U38" s="10">
        <v>43.137451900000002</v>
      </c>
      <c r="V38" s="10">
        <v>1235.5821682199999</v>
      </c>
      <c r="W38" s="10">
        <v>307.21444990999998</v>
      </c>
      <c r="X38" s="10">
        <v>7.8666545700000006</v>
      </c>
      <c r="Y38" s="10">
        <v>-1.2984459799999999</v>
      </c>
      <c r="Z38" s="10">
        <v>0.29047439000000003</v>
      </c>
      <c r="AA38" s="10" t="s">
        <v>69</v>
      </c>
      <c r="AB38" s="10">
        <v>46.224677249999992</v>
      </c>
      <c r="AC38" s="10">
        <v>589.8672699</v>
      </c>
      <c r="AD38" s="10">
        <v>959.82765629999994</v>
      </c>
      <c r="AE38" s="10">
        <v>360.71698753000004</v>
      </c>
      <c r="AF38" s="10">
        <v>124.66633800000001</v>
      </c>
      <c r="AG38" s="10">
        <v>52.142993510000004</v>
      </c>
      <c r="AH38" s="10" t="s">
        <v>69</v>
      </c>
      <c r="AI38" s="10">
        <v>14.582872499999993</v>
      </c>
    </row>
    <row r="39" spans="1:35" ht="15.75" x14ac:dyDescent="0.25">
      <c r="A39" s="13">
        <v>38504</v>
      </c>
      <c r="B39" s="10">
        <v>3508.4</v>
      </c>
      <c r="C39" s="10">
        <v>96.7</v>
      </c>
      <c r="D39" s="10">
        <v>1832.3</v>
      </c>
      <c r="E39" s="10">
        <v>1468.7</v>
      </c>
      <c r="F39" s="10">
        <v>83.1</v>
      </c>
      <c r="G39" s="10">
        <v>806.6</v>
      </c>
      <c r="H39" s="10">
        <v>221.67748015999999</v>
      </c>
      <c r="I39" s="10">
        <v>75.827866069999985</v>
      </c>
      <c r="J39" s="10">
        <v>27.901860880000008</v>
      </c>
      <c r="K39" s="10">
        <v>296.89999999999998</v>
      </c>
      <c r="L39" s="10">
        <v>180</v>
      </c>
      <c r="M39" s="10">
        <v>144.38912722999999</v>
      </c>
      <c r="N39" s="10">
        <v>156.48083170000001</v>
      </c>
      <c r="O39" s="10">
        <v>78.725136509999999</v>
      </c>
      <c r="P39" s="10">
        <v>27.096270040000004</v>
      </c>
      <c r="Q39" s="10">
        <v>13.103252839999998</v>
      </c>
      <c r="R39" s="10">
        <v>238.7</v>
      </c>
      <c r="S39" s="10" t="s">
        <v>69</v>
      </c>
      <c r="T39" s="10">
        <v>62.72521334999999</v>
      </c>
      <c r="U39" s="10">
        <v>39.194330800000003</v>
      </c>
      <c r="V39" s="10">
        <v>1103.2</v>
      </c>
      <c r="W39" s="10">
        <v>310.37078855999999</v>
      </c>
      <c r="X39" s="10">
        <v>7.862362570000001</v>
      </c>
      <c r="Y39" s="10">
        <v>-1.4906253100000002</v>
      </c>
      <c r="Z39" s="10">
        <v>0.30843014999999996</v>
      </c>
      <c r="AA39" s="10" t="s">
        <v>69</v>
      </c>
      <c r="AB39" s="10">
        <v>46.328656100000003</v>
      </c>
      <c r="AC39" s="10">
        <v>614.04843270000003</v>
      </c>
      <c r="AD39" s="10">
        <v>969.44092760000001</v>
      </c>
      <c r="AE39" s="10">
        <v>369.23318575999991</v>
      </c>
      <c r="AF39" s="10">
        <v>129.18281742000002</v>
      </c>
      <c r="AG39" s="10">
        <v>49.143221319999988</v>
      </c>
      <c r="AH39" s="10" t="s">
        <v>69</v>
      </c>
      <c r="AI39" s="10">
        <v>19.746680939999997</v>
      </c>
    </row>
    <row r="40" spans="1:35" ht="15.75" x14ac:dyDescent="0.25">
      <c r="A40" s="13">
        <v>38534</v>
      </c>
      <c r="B40" s="10">
        <v>1987.8</v>
      </c>
      <c r="C40" s="10">
        <v>93.4</v>
      </c>
      <c r="D40" s="10">
        <v>1888.2</v>
      </c>
      <c r="E40" s="10">
        <v>1322.2</v>
      </c>
      <c r="F40" s="10">
        <v>83.2</v>
      </c>
      <c r="G40" s="10">
        <v>799.2</v>
      </c>
      <c r="H40" s="10">
        <v>208.04602871</v>
      </c>
      <c r="I40" s="10">
        <v>79.875417400000018</v>
      </c>
      <c r="J40" s="10">
        <v>23.586611379999994</v>
      </c>
      <c r="K40" s="10">
        <v>196.7</v>
      </c>
      <c r="L40" s="10">
        <v>160</v>
      </c>
      <c r="M40" s="10">
        <v>131.66214335999999</v>
      </c>
      <c r="N40" s="10">
        <v>127.43672893</v>
      </c>
      <c r="O40" s="10">
        <v>182.12370182999999</v>
      </c>
      <c r="P40" s="10">
        <v>27.926305889999998</v>
      </c>
      <c r="Q40" s="10">
        <v>14.73263156</v>
      </c>
      <c r="R40" s="10">
        <v>111.2</v>
      </c>
      <c r="S40" s="10" t="s">
        <v>69</v>
      </c>
      <c r="T40" s="10">
        <v>62.57946453000001</v>
      </c>
      <c r="U40" s="10">
        <v>40.573038780000005</v>
      </c>
      <c r="V40" s="10">
        <v>1129.5</v>
      </c>
      <c r="W40" s="10">
        <v>307.72903570000011</v>
      </c>
      <c r="X40" s="10">
        <v>7.7894895700000006</v>
      </c>
      <c r="Y40" s="10">
        <v>2.6105340000000001E-2</v>
      </c>
      <c r="Z40" s="10">
        <v>0.25436020999999998</v>
      </c>
      <c r="AA40" s="10" t="s">
        <v>69</v>
      </c>
      <c r="AB40" s="10">
        <v>49.540176930000001</v>
      </c>
      <c r="AC40" s="10">
        <v>841.37289069999997</v>
      </c>
      <c r="AD40" s="10">
        <v>1451.581815</v>
      </c>
      <c r="AE40" s="10">
        <v>522.23261751999985</v>
      </c>
      <c r="AF40" s="10">
        <v>174.31923061000003</v>
      </c>
      <c r="AG40" s="10">
        <v>48.630016730000008</v>
      </c>
      <c r="AH40" s="10" t="s">
        <v>69</v>
      </c>
      <c r="AI40" s="10">
        <v>12.264667109999989</v>
      </c>
    </row>
    <row r="41" spans="1:35" ht="15.75" x14ac:dyDescent="0.25">
      <c r="A41" s="13">
        <v>38565</v>
      </c>
      <c r="B41" s="10">
        <v>2085.8000000000002</v>
      </c>
      <c r="C41" s="10">
        <v>107.9</v>
      </c>
      <c r="D41" s="10">
        <v>1996</v>
      </c>
      <c r="E41" s="10">
        <v>1491.2</v>
      </c>
      <c r="F41" s="10">
        <v>94.4</v>
      </c>
      <c r="G41" s="10">
        <v>808.7</v>
      </c>
      <c r="H41" s="10">
        <v>224.56225214000003</v>
      </c>
      <c r="I41" s="10">
        <v>79.764802040000006</v>
      </c>
      <c r="J41" s="10">
        <v>44.031708299999998</v>
      </c>
      <c r="K41" s="10">
        <v>199.1</v>
      </c>
      <c r="L41" s="10">
        <v>160</v>
      </c>
      <c r="M41" s="10">
        <v>134.49612736</v>
      </c>
      <c r="N41" s="10">
        <v>155.28617953000003</v>
      </c>
      <c r="O41" s="10">
        <v>140.84968748</v>
      </c>
      <c r="P41" s="10">
        <v>27.109345869999999</v>
      </c>
      <c r="Q41" s="10">
        <v>14.874724990000001</v>
      </c>
      <c r="R41" s="10">
        <v>147.5</v>
      </c>
      <c r="S41" s="10" t="s">
        <v>69</v>
      </c>
      <c r="T41" s="10">
        <v>64.402358019999994</v>
      </c>
      <c r="U41" s="10">
        <v>39.198247289999998</v>
      </c>
      <c r="V41" s="10">
        <v>1248.9000000000001</v>
      </c>
      <c r="W41" s="10">
        <v>352.70322392999987</v>
      </c>
      <c r="X41" s="10">
        <v>8.7370831699999982</v>
      </c>
      <c r="Y41" s="10">
        <v>-1.3971467599999998</v>
      </c>
      <c r="Z41" s="10">
        <v>0.35116510999999995</v>
      </c>
      <c r="AA41" s="10" t="s">
        <v>69</v>
      </c>
      <c r="AB41" s="10">
        <v>51.445496850000005</v>
      </c>
      <c r="AC41" s="10">
        <v>646.94374500000004</v>
      </c>
      <c r="AD41" s="10">
        <v>1138.3925710000001</v>
      </c>
      <c r="AE41" s="10">
        <v>387.59985072000006</v>
      </c>
      <c r="AF41" s="10">
        <v>145.89736714999995</v>
      </c>
      <c r="AG41" s="10">
        <v>50.428138309999987</v>
      </c>
      <c r="AH41" s="10" t="s">
        <v>69</v>
      </c>
      <c r="AI41" s="10">
        <v>6.8981717600000048</v>
      </c>
    </row>
    <row r="42" spans="1:35" ht="15.75" x14ac:dyDescent="0.25">
      <c r="A42" s="13">
        <v>38596</v>
      </c>
      <c r="B42" s="10">
        <v>1971.1</v>
      </c>
      <c r="C42" s="10">
        <v>104</v>
      </c>
      <c r="D42" s="10">
        <v>2215.4</v>
      </c>
      <c r="E42" s="10">
        <v>1387.5</v>
      </c>
      <c r="F42" s="10">
        <v>92.9</v>
      </c>
      <c r="G42" s="10">
        <v>814.9</v>
      </c>
      <c r="H42" s="10">
        <v>222.81115813</v>
      </c>
      <c r="I42" s="10">
        <v>92.131353680000004</v>
      </c>
      <c r="J42" s="10">
        <v>22.577014070000001</v>
      </c>
      <c r="K42" s="10">
        <v>197.8</v>
      </c>
      <c r="L42" s="10">
        <v>160</v>
      </c>
      <c r="M42" s="10">
        <v>136.11769050999999</v>
      </c>
      <c r="N42" s="10">
        <v>162.12641769999999</v>
      </c>
      <c r="O42" s="10">
        <v>155.24384119000001</v>
      </c>
      <c r="P42" s="10">
        <v>30.472693879999998</v>
      </c>
      <c r="Q42" s="10">
        <v>15.12321947</v>
      </c>
      <c r="R42" s="10">
        <v>33.200000000000003</v>
      </c>
      <c r="S42" s="10" t="s">
        <v>69</v>
      </c>
      <c r="T42" s="10">
        <v>64.67973422999998</v>
      </c>
      <c r="U42" s="10">
        <v>43.244972479999994</v>
      </c>
      <c r="V42" s="10">
        <v>965.5</v>
      </c>
      <c r="W42" s="10">
        <v>347.55088976000002</v>
      </c>
      <c r="X42" s="10">
        <v>8.4973834900000007</v>
      </c>
      <c r="Y42" s="10">
        <v>-0.27786425999999992</v>
      </c>
      <c r="Z42" s="10">
        <v>0.22114065999999996</v>
      </c>
      <c r="AA42" s="10" t="s">
        <v>69</v>
      </c>
      <c r="AB42" s="10">
        <v>49.122332390000004</v>
      </c>
      <c r="AC42" s="10">
        <v>664.96433639999998</v>
      </c>
      <c r="AD42" s="10">
        <v>1154.699255</v>
      </c>
      <c r="AE42" s="10">
        <v>385.60261966999985</v>
      </c>
      <c r="AF42" s="10">
        <v>151.35267401000004</v>
      </c>
      <c r="AG42" s="10">
        <v>50.710535229999991</v>
      </c>
      <c r="AH42" s="10" t="s">
        <v>69</v>
      </c>
      <c r="AI42" s="10">
        <v>16.398352830000018</v>
      </c>
    </row>
    <row r="43" spans="1:35" ht="15.75" x14ac:dyDescent="0.25">
      <c r="A43" s="13">
        <v>38626</v>
      </c>
      <c r="B43" s="10">
        <v>2120.3000000000002</v>
      </c>
      <c r="C43" s="10">
        <v>109.8</v>
      </c>
      <c r="D43" s="10">
        <v>1929.6</v>
      </c>
      <c r="E43" s="10">
        <v>1398.5</v>
      </c>
      <c r="F43" s="10">
        <v>88</v>
      </c>
      <c r="G43" s="10">
        <v>794.4</v>
      </c>
      <c r="H43" s="10">
        <v>223.72557559000001</v>
      </c>
      <c r="I43" s="10">
        <v>84.195874669999995</v>
      </c>
      <c r="J43" s="10">
        <v>31.74102512999999</v>
      </c>
      <c r="K43" s="10">
        <v>280</v>
      </c>
      <c r="L43" s="10">
        <v>190</v>
      </c>
      <c r="M43" s="10">
        <v>179.69625785000002</v>
      </c>
      <c r="N43" s="10">
        <v>168.54272967</v>
      </c>
      <c r="O43" s="10">
        <v>165.63085988</v>
      </c>
      <c r="P43" s="10">
        <v>28.151992579999998</v>
      </c>
      <c r="Q43" s="10">
        <v>15.45872688</v>
      </c>
      <c r="R43" s="10">
        <v>135.5</v>
      </c>
      <c r="S43" s="10" t="s">
        <v>69</v>
      </c>
      <c r="T43" s="10">
        <v>63.84860518</v>
      </c>
      <c r="U43" s="10">
        <v>41.158532730000005</v>
      </c>
      <c r="V43" s="10">
        <v>1011.5</v>
      </c>
      <c r="W43" s="10">
        <v>344.4293919700001</v>
      </c>
      <c r="X43" s="10">
        <v>8.48323757</v>
      </c>
      <c r="Y43" s="10">
        <v>1.866106E-2</v>
      </c>
      <c r="Z43" s="10">
        <v>0.39742669000000003</v>
      </c>
      <c r="AA43" s="10" t="s">
        <v>69</v>
      </c>
      <c r="AB43" s="10">
        <v>50.514889340000011</v>
      </c>
      <c r="AC43" s="10">
        <v>706.93229680000002</v>
      </c>
      <c r="AD43" s="10">
        <v>1226.469139</v>
      </c>
      <c r="AE43" s="10">
        <v>395.98878505999994</v>
      </c>
      <c r="AF43" s="10">
        <v>157.18787766</v>
      </c>
      <c r="AG43" s="10">
        <v>49.445425830000019</v>
      </c>
      <c r="AH43" s="10" t="s">
        <v>69</v>
      </c>
      <c r="AI43" s="10">
        <v>-0.35137122000000909</v>
      </c>
    </row>
    <row r="44" spans="1:35" ht="15.75" x14ac:dyDescent="0.25">
      <c r="A44" s="13">
        <v>38657</v>
      </c>
      <c r="B44" s="10">
        <v>2148.4</v>
      </c>
      <c r="C44" s="10">
        <v>111.6</v>
      </c>
      <c r="D44" s="10">
        <v>2057.3000000000002</v>
      </c>
      <c r="E44" s="10">
        <v>1534.3</v>
      </c>
      <c r="F44" s="10">
        <v>92.7</v>
      </c>
      <c r="G44" s="10">
        <v>854.5</v>
      </c>
      <c r="H44" s="10">
        <v>241.03506123000003</v>
      </c>
      <c r="I44" s="10">
        <v>94.709395400000005</v>
      </c>
      <c r="J44" s="10">
        <v>36.283893619999994</v>
      </c>
      <c r="K44" s="10">
        <v>346.9</v>
      </c>
      <c r="L44" s="10">
        <v>200</v>
      </c>
      <c r="M44" s="10">
        <v>144.52941655000001</v>
      </c>
      <c r="N44" s="10">
        <v>162.41051395</v>
      </c>
      <c r="O44" s="10">
        <v>161.77628200000001</v>
      </c>
      <c r="P44" s="10">
        <v>30.096641009999999</v>
      </c>
      <c r="Q44" s="10">
        <v>13.814084649999998</v>
      </c>
      <c r="R44" s="10">
        <v>33</v>
      </c>
      <c r="S44" s="10" t="s">
        <v>69</v>
      </c>
      <c r="T44" s="10">
        <v>67.32655874999999</v>
      </c>
      <c r="U44" s="10">
        <v>51.015206080000006</v>
      </c>
      <c r="V44" s="10">
        <v>845.7</v>
      </c>
      <c r="W44" s="10">
        <v>387.87433991000006</v>
      </c>
      <c r="X44" s="10">
        <v>9.6399400400000008</v>
      </c>
      <c r="Y44" s="10">
        <v>7.7474249999999981E-2</v>
      </c>
      <c r="Z44" s="10">
        <v>0.41501373000000003</v>
      </c>
      <c r="AA44" s="10" t="s">
        <v>69</v>
      </c>
      <c r="AB44" s="10">
        <v>54.894138859999991</v>
      </c>
      <c r="AC44" s="10">
        <v>726.32350540000004</v>
      </c>
      <c r="AD44" s="10">
        <v>1246.8301019999999</v>
      </c>
      <c r="AE44" s="10">
        <v>415.57356292999987</v>
      </c>
      <c r="AF44" s="10">
        <v>170.56330642999995</v>
      </c>
      <c r="AG44" s="10">
        <v>51.27249694999999</v>
      </c>
      <c r="AH44" s="10" t="s">
        <v>69</v>
      </c>
      <c r="AI44" s="10">
        <v>16.064235460000003</v>
      </c>
    </row>
    <row r="45" spans="1:35" ht="15.75" x14ac:dyDescent="0.25">
      <c r="A45" s="13">
        <v>38687</v>
      </c>
      <c r="B45" s="10">
        <v>2506.3000000000002</v>
      </c>
      <c r="C45" s="10">
        <v>111.5</v>
      </c>
      <c r="D45" s="10">
        <v>2208.5</v>
      </c>
      <c r="E45" s="10">
        <v>1466</v>
      </c>
      <c r="F45" s="10">
        <v>88.7</v>
      </c>
      <c r="G45" s="10">
        <v>971.6</v>
      </c>
      <c r="H45" s="10">
        <v>243.64689174999995</v>
      </c>
      <c r="I45" s="10">
        <v>103.75885386000002</v>
      </c>
      <c r="J45" s="10">
        <v>38.845200040000002</v>
      </c>
      <c r="K45" s="10">
        <v>250.1</v>
      </c>
      <c r="L45" s="10">
        <v>175</v>
      </c>
      <c r="M45" s="10">
        <v>189.72815778</v>
      </c>
      <c r="N45" s="10">
        <v>297.68067001999998</v>
      </c>
      <c r="O45" s="10">
        <v>294.76375810999991</v>
      </c>
      <c r="P45" s="10">
        <v>48.26486117999999</v>
      </c>
      <c r="Q45" s="10">
        <v>12.637726709999999</v>
      </c>
      <c r="R45" s="10">
        <v>138.19999999999999</v>
      </c>
      <c r="S45" s="10" t="s">
        <v>69</v>
      </c>
      <c r="T45" s="10">
        <v>67.283244260000004</v>
      </c>
      <c r="U45" s="10">
        <v>45.254273019999992</v>
      </c>
      <c r="V45" s="10">
        <v>993.6</v>
      </c>
      <c r="W45" s="10">
        <v>350.85065469999995</v>
      </c>
      <c r="X45" s="10">
        <v>9.0574637199999977</v>
      </c>
      <c r="Y45" s="10">
        <v>-0.41777693000000005</v>
      </c>
      <c r="Z45" s="10">
        <v>0.38000401999999994</v>
      </c>
      <c r="AA45" s="10" t="s">
        <v>69</v>
      </c>
      <c r="AB45" s="10">
        <v>51.167589259999986</v>
      </c>
      <c r="AC45" s="10">
        <v>738.86832679999998</v>
      </c>
      <c r="AD45" s="10">
        <v>1269.2632779999999</v>
      </c>
      <c r="AE45" s="10">
        <v>430.4315110199999</v>
      </c>
      <c r="AF45" s="10">
        <v>175.91459612000003</v>
      </c>
      <c r="AG45" s="10">
        <v>51.551562370000013</v>
      </c>
      <c r="AH45" s="10" t="s">
        <v>69</v>
      </c>
      <c r="AI45" s="10">
        <v>29.012514089999993</v>
      </c>
    </row>
    <row r="46" spans="1:35" ht="15.75" x14ac:dyDescent="0.25">
      <c r="A46" s="13">
        <v>38718</v>
      </c>
      <c r="B46" s="10">
        <v>2299.6999999999998</v>
      </c>
      <c r="C46" s="10">
        <v>107.5</v>
      </c>
      <c r="D46" s="10">
        <v>2431.9</v>
      </c>
      <c r="E46" s="10">
        <v>1442</v>
      </c>
      <c r="F46" s="10">
        <v>79.599999999999994</v>
      </c>
      <c r="G46" s="10">
        <v>892.5</v>
      </c>
      <c r="H46" s="10">
        <v>267.32569237999996</v>
      </c>
      <c r="I46" s="10">
        <v>105.82942449999999</v>
      </c>
      <c r="J46" s="10">
        <v>47.148258220000002</v>
      </c>
      <c r="K46" s="10">
        <v>249.8</v>
      </c>
      <c r="L46" s="10">
        <v>185</v>
      </c>
      <c r="M46" s="10">
        <v>132.76632096</v>
      </c>
      <c r="N46" s="10">
        <v>50.993778329999998</v>
      </c>
      <c r="O46" s="10">
        <v>39.444557359999997</v>
      </c>
      <c r="P46" s="10">
        <v>12.159062820000003</v>
      </c>
      <c r="Q46" s="10">
        <v>12.523115730000001</v>
      </c>
      <c r="R46" s="10">
        <v>25.1</v>
      </c>
      <c r="S46" s="10" t="s">
        <v>69</v>
      </c>
      <c r="T46" s="10">
        <v>65.230451520000017</v>
      </c>
      <c r="U46" s="10">
        <v>43.603387370000007</v>
      </c>
      <c r="V46" s="10">
        <v>967</v>
      </c>
      <c r="W46" s="10">
        <v>377.38001393000008</v>
      </c>
      <c r="X46" s="10">
        <v>9.2017703300000004</v>
      </c>
      <c r="Y46" s="10">
        <v>-3.9824487099999994</v>
      </c>
      <c r="Z46" s="10">
        <v>0.70552541000000013</v>
      </c>
      <c r="AA46" s="10" t="s">
        <v>69</v>
      </c>
      <c r="AB46" s="10">
        <v>58.852761199999996</v>
      </c>
      <c r="AC46" s="10">
        <v>1010.0333365299999</v>
      </c>
      <c r="AD46" s="10">
        <v>1788.6704622100003</v>
      </c>
      <c r="AE46" s="10">
        <v>619.95457887999987</v>
      </c>
      <c r="AF46" s="10">
        <v>238.11575887999999</v>
      </c>
      <c r="AG46" s="10">
        <v>51.206939829999989</v>
      </c>
      <c r="AH46" s="10" t="s">
        <v>69</v>
      </c>
      <c r="AI46" s="10">
        <v>40.905902310000009</v>
      </c>
    </row>
    <row r="47" spans="1:35" ht="15.75" x14ac:dyDescent="0.25">
      <c r="A47" s="13">
        <v>38749</v>
      </c>
      <c r="B47" s="10">
        <v>2206.1999999999998</v>
      </c>
      <c r="C47" s="10">
        <v>95.1</v>
      </c>
      <c r="D47" s="10">
        <v>2143.6999999999998</v>
      </c>
      <c r="E47" s="10">
        <v>1381.2</v>
      </c>
      <c r="F47" s="10">
        <v>81.900000000000006</v>
      </c>
      <c r="G47" s="10">
        <v>792.3</v>
      </c>
      <c r="H47" s="10">
        <v>229.20247131999997</v>
      </c>
      <c r="I47" s="10">
        <v>94.410026749999986</v>
      </c>
      <c r="J47" s="10">
        <v>24.703993589999993</v>
      </c>
      <c r="K47" s="10">
        <v>199.8</v>
      </c>
      <c r="L47" s="10">
        <v>160</v>
      </c>
      <c r="M47" s="10">
        <v>183.30822036000004</v>
      </c>
      <c r="N47" s="10">
        <v>172.49510665999998</v>
      </c>
      <c r="O47" s="10">
        <v>152.52785211999998</v>
      </c>
      <c r="P47" s="10">
        <v>32.013629120000004</v>
      </c>
      <c r="Q47" s="10">
        <v>12.285518679999999</v>
      </c>
      <c r="R47" s="10">
        <v>125.3</v>
      </c>
      <c r="S47" s="10" t="s">
        <v>69</v>
      </c>
      <c r="T47" s="10">
        <v>64.29409462000001</v>
      </c>
      <c r="U47" s="10">
        <v>47.077951820000003</v>
      </c>
      <c r="V47" s="10">
        <v>880.4</v>
      </c>
      <c r="W47" s="10">
        <v>337.50978280999999</v>
      </c>
      <c r="X47" s="10">
        <v>8.19698861</v>
      </c>
      <c r="Y47" s="10">
        <v>2.5532600000000003E-3</v>
      </c>
      <c r="Z47" s="10">
        <v>0.45267824000000001</v>
      </c>
      <c r="AA47" s="10" t="s">
        <v>69</v>
      </c>
      <c r="AB47" s="10">
        <v>48.025848830000015</v>
      </c>
      <c r="AC47" s="10">
        <v>773.95630794999988</v>
      </c>
      <c r="AD47" s="10">
        <v>1406.7899114699997</v>
      </c>
      <c r="AE47" s="10">
        <v>463.65350458000012</v>
      </c>
      <c r="AF47" s="10">
        <v>190.22856527000002</v>
      </c>
      <c r="AG47" s="10">
        <v>49.437958769999995</v>
      </c>
      <c r="AH47" s="10" t="s">
        <v>69</v>
      </c>
      <c r="AI47" s="10">
        <v>86.052798710000005</v>
      </c>
    </row>
    <row r="48" spans="1:35" ht="15.75" x14ac:dyDescent="0.25">
      <c r="A48" s="13">
        <v>38777</v>
      </c>
      <c r="B48" s="10">
        <v>1875.4</v>
      </c>
      <c r="C48" s="10">
        <v>112.1</v>
      </c>
      <c r="D48" s="10">
        <v>2187.4</v>
      </c>
      <c r="E48" s="10">
        <v>1615.1</v>
      </c>
      <c r="F48" s="10">
        <v>90.8</v>
      </c>
      <c r="G48" s="10">
        <v>910.6</v>
      </c>
      <c r="H48" s="10">
        <v>206.22645789999999</v>
      </c>
      <c r="I48" s="10">
        <v>104.27839704000002</v>
      </c>
      <c r="J48" s="10">
        <v>41.281493019999992</v>
      </c>
      <c r="K48" s="10">
        <v>249.9</v>
      </c>
      <c r="L48" s="10">
        <v>180</v>
      </c>
      <c r="M48" s="10">
        <v>156.60274113</v>
      </c>
      <c r="N48" s="10">
        <v>136.17699366000002</v>
      </c>
      <c r="O48" s="10">
        <v>135.04547704000001</v>
      </c>
      <c r="P48" s="10">
        <v>27.669237389999999</v>
      </c>
      <c r="Q48" s="10">
        <v>11.71659208</v>
      </c>
      <c r="R48" s="10">
        <v>30.2</v>
      </c>
      <c r="S48" s="10" t="s">
        <v>69</v>
      </c>
      <c r="T48" s="10">
        <v>70.239976089999999</v>
      </c>
      <c r="U48" s="10">
        <v>37.637217900000003</v>
      </c>
      <c r="V48" s="10">
        <v>1022</v>
      </c>
      <c r="W48" s="10">
        <v>394.87410429000005</v>
      </c>
      <c r="X48" s="10">
        <v>9.6101957099999975</v>
      </c>
      <c r="Y48" s="10">
        <v>-0.97643022000000002</v>
      </c>
      <c r="Z48" s="10">
        <v>0.18093601999999995</v>
      </c>
      <c r="AA48" s="10" t="s">
        <v>69</v>
      </c>
      <c r="AB48" s="10">
        <v>57.328622760000009</v>
      </c>
      <c r="AC48" s="10">
        <v>780.12205799000003</v>
      </c>
      <c r="AD48" s="10">
        <v>1357.6416851400002</v>
      </c>
      <c r="AE48" s="10">
        <v>459.89143163999989</v>
      </c>
      <c r="AF48" s="10">
        <v>194.28052448000003</v>
      </c>
      <c r="AG48" s="10">
        <v>53.532347710000018</v>
      </c>
      <c r="AH48" s="10" t="s">
        <v>69</v>
      </c>
      <c r="AI48" s="10">
        <v>65.430917669999999</v>
      </c>
    </row>
    <row r="49" spans="1:35" ht="15.75" x14ac:dyDescent="0.25">
      <c r="A49" s="13">
        <v>38808</v>
      </c>
      <c r="B49" s="10">
        <v>1281.50525275</v>
      </c>
      <c r="C49" s="10">
        <v>103.29177525999999</v>
      </c>
      <c r="D49" s="10">
        <v>2350.8407196600001</v>
      </c>
      <c r="E49" s="10">
        <v>1488.28311437</v>
      </c>
      <c r="F49" s="10">
        <v>80.282510049999999</v>
      </c>
      <c r="G49" s="10">
        <v>840.51704104999999</v>
      </c>
      <c r="H49" s="10">
        <v>239.47661999000002</v>
      </c>
      <c r="I49" s="10">
        <v>116.78468498000001</v>
      </c>
      <c r="J49" s="10">
        <v>22.728807199999999</v>
      </c>
      <c r="K49" s="10">
        <v>250.85881791</v>
      </c>
      <c r="L49" s="10">
        <v>160</v>
      </c>
      <c r="M49" s="10">
        <v>172.47366738999997</v>
      </c>
      <c r="N49" s="10">
        <v>163.77768247999998</v>
      </c>
      <c r="O49" s="10">
        <v>181.87693564000003</v>
      </c>
      <c r="P49" s="10">
        <v>29.922685009999999</v>
      </c>
      <c r="Q49" s="10">
        <v>13.2647773</v>
      </c>
      <c r="R49" s="10">
        <v>41.869435330000002</v>
      </c>
      <c r="S49" s="10" t="s">
        <v>69</v>
      </c>
      <c r="T49" s="10">
        <v>66.618060409999984</v>
      </c>
      <c r="U49" s="10">
        <v>39.978826520000005</v>
      </c>
      <c r="V49" s="10">
        <v>1092.42274903</v>
      </c>
      <c r="W49" s="10">
        <v>360.66164969999994</v>
      </c>
      <c r="X49" s="10">
        <v>8.9596066199999989</v>
      </c>
      <c r="Y49" s="10">
        <v>0.20003576000000001</v>
      </c>
      <c r="Z49" s="10">
        <v>0.15541195000000002</v>
      </c>
      <c r="AA49" s="10" t="s">
        <v>69</v>
      </c>
      <c r="AB49" s="10">
        <v>51.215653139999993</v>
      </c>
      <c r="AC49" s="10">
        <v>789.29380990999982</v>
      </c>
      <c r="AD49" s="10">
        <v>1373.9165927799997</v>
      </c>
      <c r="AE49" s="10">
        <v>455.72587466999994</v>
      </c>
      <c r="AF49" s="10">
        <v>192.08097698999993</v>
      </c>
      <c r="AG49" s="10">
        <v>51.280206009999979</v>
      </c>
      <c r="AH49" s="10" t="s">
        <v>69</v>
      </c>
      <c r="AI49" s="10">
        <v>78.603234510000007</v>
      </c>
    </row>
    <row r="50" spans="1:35" ht="15.75" x14ac:dyDescent="0.25">
      <c r="A50" s="13">
        <v>38838</v>
      </c>
      <c r="B50" s="10">
        <v>4107.8</v>
      </c>
      <c r="C50" s="10">
        <v>114.1</v>
      </c>
      <c r="D50" s="10">
        <v>2328.4</v>
      </c>
      <c r="E50" s="10">
        <v>1690.6</v>
      </c>
      <c r="F50" s="10">
        <v>96.1</v>
      </c>
      <c r="G50" s="10">
        <v>1015.1</v>
      </c>
      <c r="H50" s="10">
        <v>193.59609606000004</v>
      </c>
      <c r="I50" s="10">
        <v>117.50992354</v>
      </c>
      <c r="J50" s="10">
        <v>41.679704359999995</v>
      </c>
      <c r="K50" s="10">
        <v>249.5</v>
      </c>
      <c r="L50" s="10">
        <v>160</v>
      </c>
      <c r="M50" s="10">
        <v>158.53269333</v>
      </c>
      <c r="N50" s="10">
        <v>192.30540105</v>
      </c>
      <c r="O50" s="10">
        <v>161.80690472000003</v>
      </c>
      <c r="P50" s="10">
        <v>28.089730079999995</v>
      </c>
      <c r="Q50" s="10">
        <v>13.410748539999998</v>
      </c>
      <c r="R50" s="10">
        <v>893.2</v>
      </c>
      <c r="S50" s="10" t="s">
        <v>69</v>
      </c>
      <c r="T50" s="10">
        <v>71.913649159999991</v>
      </c>
      <c r="U50" s="10">
        <v>43.831502040000004</v>
      </c>
      <c r="V50" s="10">
        <v>1275.3</v>
      </c>
      <c r="W50" s="10">
        <v>413.62877772000007</v>
      </c>
      <c r="X50" s="10">
        <v>10.092507000000001</v>
      </c>
      <c r="Y50" s="10">
        <v>3.3290399999999997E-3</v>
      </c>
      <c r="Z50" s="10">
        <v>0.32417940999999995</v>
      </c>
      <c r="AA50" s="10" t="s">
        <v>69</v>
      </c>
      <c r="AB50" s="10">
        <v>59.35029844000001</v>
      </c>
      <c r="AC50" s="10">
        <v>827.74077005000015</v>
      </c>
      <c r="AD50" s="10">
        <v>1447.0404382399997</v>
      </c>
      <c r="AE50" s="10">
        <v>476.16048204999987</v>
      </c>
      <c r="AF50" s="10">
        <v>206.34035532000004</v>
      </c>
      <c r="AG50" s="10">
        <v>55.127006299999991</v>
      </c>
      <c r="AH50" s="10" t="s">
        <v>69</v>
      </c>
      <c r="AI50" s="10">
        <v>53.085953590000045</v>
      </c>
    </row>
    <row r="51" spans="1:35" ht="15.75" x14ac:dyDescent="0.25">
      <c r="A51" s="13">
        <v>38869</v>
      </c>
      <c r="B51" s="10">
        <v>4352.2</v>
      </c>
      <c r="C51" s="10">
        <v>120.8</v>
      </c>
      <c r="D51" s="10">
        <v>2357.6999999999998</v>
      </c>
      <c r="E51" s="10">
        <v>1686.6</v>
      </c>
      <c r="F51" s="10">
        <v>90</v>
      </c>
      <c r="G51" s="10">
        <v>1020.8</v>
      </c>
      <c r="H51" s="10">
        <v>214.42402705999999</v>
      </c>
      <c r="I51" s="10">
        <v>123.59061868000003</v>
      </c>
      <c r="J51" s="10">
        <v>21.937392529999997</v>
      </c>
      <c r="K51" s="10">
        <v>248.7</v>
      </c>
      <c r="L51" s="10">
        <v>160</v>
      </c>
      <c r="M51" s="10">
        <v>157.74404940000002</v>
      </c>
      <c r="N51" s="10">
        <v>177.88309615000003</v>
      </c>
      <c r="O51" s="10">
        <v>183.64187322999999</v>
      </c>
      <c r="P51" s="10">
        <v>29.614919650000001</v>
      </c>
      <c r="Q51" s="10">
        <v>12.207560079999999</v>
      </c>
      <c r="R51" s="10">
        <v>260.10000000000002</v>
      </c>
      <c r="S51" s="10" t="s">
        <v>69</v>
      </c>
      <c r="T51" s="10">
        <v>71.548535300000026</v>
      </c>
      <c r="U51" s="10">
        <v>47.489728339999999</v>
      </c>
      <c r="V51" s="10">
        <v>1080.7</v>
      </c>
      <c r="W51" s="10">
        <v>398.82700083000009</v>
      </c>
      <c r="X51" s="10">
        <v>9.6580769800000006</v>
      </c>
      <c r="Y51" s="10">
        <v>5.6625E-3</v>
      </c>
      <c r="Z51" s="10">
        <v>0.29667401000000004</v>
      </c>
      <c r="AA51" s="10" t="s">
        <v>69</v>
      </c>
      <c r="AB51" s="10">
        <v>56.082177309999999</v>
      </c>
      <c r="AC51" s="10">
        <v>832.15418554999997</v>
      </c>
      <c r="AD51" s="10">
        <v>1552.3333827700001</v>
      </c>
      <c r="AE51" s="10">
        <v>477.67310089</v>
      </c>
      <c r="AF51" s="10">
        <v>208.32504142000002</v>
      </c>
      <c r="AG51" s="10">
        <v>54.846243219999998</v>
      </c>
      <c r="AH51" s="10" t="s">
        <v>69</v>
      </c>
      <c r="AI51" s="10">
        <v>-10.750924629999979</v>
      </c>
    </row>
    <row r="52" spans="1:35" ht="15.75" x14ac:dyDescent="0.25">
      <c r="A52" s="13">
        <v>38899</v>
      </c>
      <c r="B52" s="10">
        <v>2501.1</v>
      </c>
      <c r="C52" s="10">
        <v>123.5</v>
      </c>
      <c r="D52" s="10">
        <v>2365.6</v>
      </c>
      <c r="E52" s="10">
        <v>1666.9</v>
      </c>
      <c r="F52" s="10">
        <v>86.9</v>
      </c>
      <c r="G52" s="10">
        <v>987.2</v>
      </c>
      <c r="H52" s="10">
        <v>214.82041762999998</v>
      </c>
      <c r="I52" s="10">
        <v>115.18770509000001</v>
      </c>
      <c r="J52" s="10">
        <v>30.925964459999992</v>
      </c>
      <c r="K52" s="10">
        <v>250</v>
      </c>
      <c r="L52" s="10">
        <v>160</v>
      </c>
      <c r="M52" s="10">
        <v>185.1564544</v>
      </c>
      <c r="N52" s="10">
        <v>162.93586622999999</v>
      </c>
      <c r="O52" s="10">
        <v>171.05878552000001</v>
      </c>
      <c r="P52" s="10">
        <v>30.308378489999996</v>
      </c>
      <c r="Q52" s="10">
        <v>14.98437543</v>
      </c>
      <c r="R52" s="10">
        <v>138.80000000000001</v>
      </c>
      <c r="S52" s="10" t="s">
        <v>69</v>
      </c>
      <c r="T52" s="10">
        <v>73.217092899999983</v>
      </c>
      <c r="U52" s="10">
        <v>49.694324469999991</v>
      </c>
      <c r="V52" s="10">
        <v>1241.8</v>
      </c>
      <c r="W52" s="10">
        <v>414.14658408999998</v>
      </c>
      <c r="X52" s="10">
        <v>9.9456133800000028</v>
      </c>
      <c r="Y52" s="10">
        <v>-1.7579139500000001</v>
      </c>
      <c r="Z52" s="10">
        <v>0.23368284999999997</v>
      </c>
      <c r="AA52" s="10" t="s">
        <v>69</v>
      </c>
      <c r="AB52" s="10">
        <v>54.516468209999999</v>
      </c>
      <c r="AC52" s="10">
        <v>1161.6501505400004</v>
      </c>
      <c r="AD52" s="10">
        <v>2133.5833729000001</v>
      </c>
      <c r="AE52" s="10">
        <v>689.90003598999988</v>
      </c>
      <c r="AF52" s="10">
        <v>276.51574120000004</v>
      </c>
      <c r="AG52" s="10">
        <v>55.669405089999998</v>
      </c>
      <c r="AH52" s="10" t="s">
        <v>69</v>
      </c>
      <c r="AI52" s="10">
        <v>-59.103191559999971</v>
      </c>
    </row>
    <row r="53" spans="1:35" ht="15.75" x14ac:dyDescent="0.25">
      <c r="A53" s="13">
        <v>38930</v>
      </c>
      <c r="B53" s="10">
        <v>2723.1998188999996</v>
      </c>
      <c r="C53" s="10">
        <v>139.52422534999999</v>
      </c>
      <c r="D53" s="10">
        <v>2596.4210963799997</v>
      </c>
      <c r="E53" s="10">
        <v>1879.41715742</v>
      </c>
      <c r="F53" s="10">
        <v>94.822540599999996</v>
      </c>
      <c r="G53" s="10">
        <v>1004.9020275599999</v>
      </c>
      <c r="H53" s="10">
        <v>211.59806912000002</v>
      </c>
      <c r="I53" s="10">
        <v>118.29807082999999</v>
      </c>
      <c r="J53" s="10">
        <v>43.577484560000002</v>
      </c>
      <c r="K53" s="10">
        <v>299.40416426000002</v>
      </c>
      <c r="L53" s="10">
        <v>160</v>
      </c>
      <c r="M53" s="10">
        <v>181.06178449000001</v>
      </c>
      <c r="N53" s="10">
        <v>179.52814003</v>
      </c>
      <c r="O53" s="10">
        <v>162.62030195999998</v>
      </c>
      <c r="P53" s="10">
        <v>29.206998759999998</v>
      </c>
      <c r="Q53" s="10">
        <v>14.377012650000003</v>
      </c>
      <c r="R53" s="10">
        <v>169.26375014999999</v>
      </c>
      <c r="S53" s="10" t="s">
        <v>69</v>
      </c>
      <c r="T53" s="10">
        <v>73.336791590000004</v>
      </c>
      <c r="U53" s="10">
        <v>48.688207750000004</v>
      </c>
      <c r="V53" s="10">
        <v>1379.7121860299999</v>
      </c>
      <c r="W53" s="10">
        <v>454.59167406999995</v>
      </c>
      <c r="X53" s="10">
        <v>10.803189479999999</v>
      </c>
      <c r="Y53" s="10">
        <v>4.4444440000000002E-2</v>
      </c>
      <c r="Z53" s="10">
        <v>0.33673882999999999</v>
      </c>
      <c r="AA53" s="10" t="s">
        <v>69</v>
      </c>
      <c r="AB53" s="10">
        <v>64.45885367999999</v>
      </c>
      <c r="AC53" s="10">
        <v>890.31977316999985</v>
      </c>
      <c r="AD53" s="10">
        <v>1569.9232877799996</v>
      </c>
      <c r="AE53" s="10">
        <v>516.66502171000002</v>
      </c>
      <c r="AF53" s="10">
        <v>228.70356922000002</v>
      </c>
      <c r="AG53" s="10">
        <v>56.713643239999996</v>
      </c>
      <c r="AH53" s="10" t="s">
        <v>69</v>
      </c>
      <c r="AI53" s="10">
        <v>53.446902069999993</v>
      </c>
    </row>
    <row r="54" spans="1:35" ht="15.75" x14ac:dyDescent="0.25">
      <c r="A54" s="13">
        <v>38961</v>
      </c>
      <c r="B54" s="10">
        <v>2423.3984000400001</v>
      </c>
      <c r="C54" s="10">
        <v>137.25018555</v>
      </c>
      <c r="D54" s="10">
        <v>2565.6166143199998</v>
      </c>
      <c r="E54" s="10">
        <v>1885.62543521</v>
      </c>
      <c r="F54" s="10">
        <v>92.877368630000007</v>
      </c>
      <c r="G54" s="10">
        <v>937.23696673999996</v>
      </c>
      <c r="H54" s="10">
        <v>220.13440611999997</v>
      </c>
      <c r="I54" s="10">
        <v>115.15052180000001</v>
      </c>
      <c r="J54" s="10">
        <v>21.030510240000002</v>
      </c>
      <c r="K54" s="10">
        <v>269.74399566</v>
      </c>
      <c r="L54" s="10">
        <v>160</v>
      </c>
      <c r="M54" s="10">
        <v>180.84868547000002</v>
      </c>
      <c r="N54" s="10">
        <v>158.47504203</v>
      </c>
      <c r="O54" s="10">
        <v>163.89724874000004</v>
      </c>
      <c r="P54" s="10">
        <v>34.333519889999998</v>
      </c>
      <c r="Q54" s="10">
        <v>15.359397769999999</v>
      </c>
      <c r="R54" s="10">
        <v>41.737009710000002</v>
      </c>
      <c r="S54" s="10" t="s">
        <v>69</v>
      </c>
      <c r="T54" s="10">
        <v>75.25100338999998</v>
      </c>
      <c r="U54" s="10">
        <v>48.663975619999995</v>
      </c>
      <c r="V54" s="10">
        <v>1612.83557131</v>
      </c>
      <c r="W54" s="10">
        <v>458.25593267999994</v>
      </c>
      <c r="X54" s="10">
        <v>10.718411620000001</v>
      </c>
      <c r="Y54" s="10">
        <v>0.35316973000000007</v>
      </c>
      <c r="Z54" s="10">
        <v>0.37961354999999997</v>
      </c>
      <c r="AA54" s="10" t="s">
        <v>69</v>
      </c>
      <c r="AB54" s="10">
        <v>92.292421319999974</v>
      </c>
      <c r="AC54" s="10">
        <v>888.22120576999998</v>
      </c>
      <c r="AD54" s="10">
        <v>1607.3847695300003</v>
      </c>
      <c r="AE54" s="10">
        <v>519.99190111999985</v>
      </c>
      <c r="AF54" s="10">
        <v>223.60508275999999</v>
      </c>
      <c r="AG54" s="10">
        <v>57.244425309999983</v>
      </c>
      <c r="AH54" s="10" t="s">
        <v>69</v>
      </c>
      <c r="AI54" s="10">
        <v>49.208021460000047</v>
      </c>
    </row>
    <row r="55" spans="1:35" ht="15.75" x14ac:dyDescent="0.25">
      <c r="A55" s="13">
        <v>38991</v>
      </c>
      <c r="B55" s="10">
        <v>2617.8272080800002</v>
      </c>
      <c r="C55" s="10">
        <v>143.46846127000001</v>
      </c>
      <c r="D55" s="10">
        <v>2651.7504939600003</v>
      </c>
      <c r="E55" s="10">
        <v>1945.9636306800001</v>
      </c>
      <c r="F55" s="10">
        <v>91.518851850000004</v>
      </c>
      <c r="G55" s="10">
        <v>956.98792041000002</v>
      </c>
      <c r="H55" s="10">
        <v>231.34517610999998</v>
      </c>
      <c r="I55" s="10">
        <v>117.00954554999998</v>
      </c>
      <c r="J55" s="10">
        <v>46.565018410000008</v>
      </c>
      <c r="K55" s="10">
        <v>245.29851591000002</v>
      </c>
      <c r="L55" s="10">
        <v>160</v>
      </c>
      <c r="M55" s="10">
        <v>188.44830807</v>
      </c>
      <c r="N55" s="10">
        <v>150.60765471000002</v>
      </c>
      <c r="O55" s="10">
        <v>163.26245800999999</v>
      </c>
      <c r="P55" s="10">
        <v>29.984437069999995</v>
      </c>
      <c r="Q55" s="10">
        <v>15.212182139999999</v>
      </c>
      <c r="R55" s="10">
        <v>158.12559654</v>
      </c>
      <c r="S55" s="10" t="s">
        <v>69</v>
      </c>
      <c r="T55" s="10">
        <v>79.999026560000004</v>
      </c>
      <c r="U55" s="10">
        <v>44.757476660000002</v>
      </c>
      <c r="V55" s="10">
        <v>1448.6842743700001</v>
      </c>
      <c r="W55" s="10">
        <v>484.83765333999997</v>
      </c>
      <c r="X55" s="10">
        <v>11.414069780000002</v>
      </c>
      <c r="Y55" s="10">
        <v>-0.99552272999999991</v>
      </c>
      <c r="Z55" s="10">
        <v>0.42547611999999996</v>
      </c>
      <c r="AA55" s="10" t="s">
        <v>69</v>
      </c>
      <c r="AB55" s="10">
        <v>99.828855869999998</v>
      </c>
      <c r="AC55" s="10">
        <v>910.03767223000011</v>
      </c>
      <c r="AD55" s="10">
        <v>1788.7141458199997</v>
      </c>
      <c r="AE55" s="10">
        <v>534.55544773999998</v>
      </c>
      <c r="AF55" s="10">
        <v>226.53580355999998</v>
      </c>
      <c r="AG55" s="10">
        <v>59.594556390000001</v>
      </c>
      <c r="AH55" s="10" t="s">
        <v>69</v>
      </c>
      <c r="AI55" s="10">
        <v>59.400345190000003</v>
      </c>
    </row>
    <row r="56" spans="1:35" ht="15.75" x14ac:dyDescent="0.25">
      <c r="A56" s="13">
        <v>39022</v>
      </c>
      <c r="B56" s="10">
        <v>3010.62296784</v>
      </c>
      <c r="C56" s="10">
        <v>152.74938417999999</v>
      </c>
      <c r="D56" s="10">
        <v>2727.9273789899999</v>
      </c>
      <c r="E56" s="10">
        <v>1964.3927917399999</v>
      </c>
      <c r="F56" s="10">
        <v>96.268426170000012</v>
      </c>
      <c r="G56" s="10">
        <v>1124.04762071</v>
      </c>
      <c r="H56" s="10">
        <v>246.38000865000006</v>
      </c>
      <c r="I56" s="10">
        <v>126.56992171999998</v>
      </c>
      <c r="J56" s="10">
        <v>24.158025879999993</v>
      </c>
      <c r="K56" s="10">
        <v>400.17421043999997</v>
      </c>
      <c r="L56" s="10">
        <v>160</v>
      </c>
      <c r="M56" s="10">
        <v>179.51789047</v>
      </c>
      <c r="N56" s="10">
        <v>184.81266679000001</v>
      </c>
      <c r="O56" s="10">
        <v>169.8072469</v>
      </c>
      <c r="P56" s="10">
        <v>30.783480419999989</v>
      </c>
      <c r="Q56" s="10">
        <v>16.370365109999998</v>
      </c>
      <c r="R56" s="10">
        <v>34.872261080000001</v>
      </c>
      <c r="S56" s="10" t="s">
        <v>69</v>
      </c>
      <c r="T56" s="10">
        <v>78.451830470000004</v>
      </c>
      <c r="U56" s="10">
        <v>58.916071169999995</v>
      </c>
      <c r="V56" s="10">
        <v>1441.4482698100001</v>
      </c>
      <c r="W56" s="10">
        <v>494.37868558000002</v>
      </c>
      <c r="X56" s="10">
        <v>11.62978792</v>
      </c>
      <c r="Y56" s="10">
        <v>-0.61029228000000002</v>
      </c>
      <c r="Z56" s="10">
        <v>0.50574546999999992</v>
      </c>
      <c r="AA56" s="10" t="s">
        <v>69</v>
      </c>
      <c r="AB56" s="10">
        <v>98.225745609999976</v>
      </c>
      <c r="AC56" s="10">
        <v>924.47643845999949</v>
      </c>
      <c r="AD56" s="10">
        <v>1779.9648732400003</v>
      </c>
      <c r="AE56" s="10">
        <v>546.57078442000011</v>
      </c>
      <c r="AF56" s="10">
        <v>232.31435553999995</v>
      </c>
      <c r="AG56" s="10">
        <v>58.341963659999976</v>
      </c>
      <c r="AH56" s="10" t="s">
        <v>69</v>
      </c>
      <c r="AI56" s="10">
        <v>35.997470490000012</v>
      </c>
    </row>
    <row r="57" spans="1:35" ht="15.75" x14ac:dyDescent="0.25">
      <c r="A57" s="13">
        <v>39052</v>
      </c>
      <c r="B57" s="10">
        <v>2727.9173516200003</v>
      </c>
      <c r="C57" s="10">
        <v>138.81586583000001</v>
      </c>
      <c r="D57" s="10">
        <v>3367.7755995799998</v>
      </c>
      <c r="E57" s="10">
        <v>1646.2499524300001</v>
      </c>
      <c r="F57" s="10">
        <v>102.9384558</v>
      </c>
      <c r="G57" s="10">
        <v>1203.5488175</v>
      </c>
      <c r="H57" s="10">
        <v>242.80640527000003</v>
      </c>
      <c r="I57" s="10">
        <v>128.41967516000003</v>
      </c>
      <c r="J57" s="10">
        <v>32.50687362</v>
      </c>
      <c r="K57" s="10">
        <v>350.02737990999998</v>
      </c>
      <c r="L57" s="10">
        <v>160</v>
      </c>
      <c r="M57" s="10">
        <v>175.33233357999998</v>
      </c>
      <c r="N57" s="10">
        <v>277.05594951999996</v>
      </c>
      <c r="O57" s="10">
        <v>295.47680761999999</v>
      </c>
      <c r="P57" s="10">
        <v>53.925382819999996</v>
      </c>
      <c r="Q57" s="10">
        <v>13.59574525</v>
      </c>
      <c r="R57" s="10">
        <v>158.18362060999999</v>
      </c>
      <c r="S57" s="10" t="s">
        <v>69</v>
      </c>
      <c r="T57" s="10">
        <v>78.645206510000008</v>
      </c>
      <c r="U57" s="10">
        <v>70.32189683</v>
      </c>
      <c r="V57" s="10">
        <v>1269.3757362599999</v>
      </c>
      <c r="W57" s="10">
        <v>429.47344349999997</v>
      </c>
      <c r="X57" s="10">
        <v>10.201213639999999</v>
      </c>
      <c r="Y57" s="10">
        <v>-2.0910527599999997</v>
      </c>
      <c r="Z57" s="10">
        <v>0.53238386000000004</v>
      </c>
      <c r="AA57" s="10" t="s">
        <v>69</v>
      </c>
      <c r="AB57" s="10">
        <v>81.545479230000012</v>
      </c>
      <c r="AC57" s="10">
        <v>942.8069644200001</v>
      </c>
      <c r="AD57" s="10">
        <v>1840.1101597599998</v>
      </c>
      <c r="AE57" s="10">
        <v>553.39885475000005</v>
      </c>
      <c r="AF57" s="10">
        <v>230.07063705000002</v>
      </c>
      <c r="AG57" s="10">
        <v>58.506544519999998</v>
      </c>
      <c r="AH57" s="10" t="s">
        <v>69</v>
      </c>
      <c r="AI57" s="10">
        <v>76.822574689999925</v>
      </c>
    </row>
    <row r="58" spans="1:35" ht="15.75" x14ac:dyDescent="0.25">
      <c r="A58" s="13">
        <v>39083</v>
      </c>
      <c r="B58" s="10">
        <v>2851.6</v>
      </c>
      <c r="C58" s="10">
        <v>149.5</v>
      </c>
      <c r="D58" s="10">
        <v>3246.7</v>
      </c>
      <c r="E58" s="10">
        <v>1825.9</v>
      </c>
      <c r="F58" s="10">
        <v>90.6</v>
      </c>
      <c r="G58" s="10">
        <v>1062.0999999999999</v>
      </c>
      <c r="H58" s="10">
        <v>263.99722267999999</v>
      </c>
      <c r="I58" s="10">
        <v>141.04127566</v>
      </c>
      <c r="J58" s="10">
        <v>52.103400000000001</v>
      </c>
      <c r="K58" s="10">
        <v>449.4</v>
      </c>
      <c r="L58" s="10">
        <v>160</v>
      </c>
      <c r="M58" s="10">
        <v>128.62816018999999</v>
      </c>
      <c r="N58" s="10">
        <v>91.520328500000005</v>
      </c>
      <c r="O58" s="10">
        <v>49.247913940000004</v>
      </c>
      <c r="P58" s="10">
        <v>17.524379129999996</v>
      </c>
      <c r="Q58" s="10">
        <v>13.817922519999998</v>
      </c>
      <c r="R58" s="10">
        <v>40.299999999999997</v>
      </c>
      <c r="S58" s="10" t="s">
        <v>69</v>
      </c>
      <c r="T58" s="10">
        <v>83.002685719999988</v>
      </c>
      <c r="U58" s="10">
        <v>70.180781289999985</v>
      </c>
      <c r="V58" s="10">
        <v>1249.2</v>
      </c>
      <c r="W58" s="10">
        <v>473.05664246999999</v>
      </c>
      <c r="X58" s="10">
        <v>11.486030190000001</v>
      </c>
      <c r="Y58" s="10">
        <v>2.0472990200000001</v>
      </c>
      <c r="Z58" s="10">
        <v>0.34559514000000002</v>
      </c>
      <c r="AA58" s="10" t="s">
        <v>69</v>
      </c>
      <c r="AB58" s="10">
        <v>84.021825769999992</v>
      </c>
      <c r="AC58" s="10">
        <v>1336.9694653000001</v>
      </c>
      <c r="AD58" s="10">
        <v>2632.9941112000001</v>
      </c>
      <c r="AE58" s="10">
        <v>807.32128575000002</v>
      </c>
      <c r="AF58" s="10">
        <v>327.21559079000008</v>
      </c>
      <c r="AG58" s="10">
        <v>62.258213230000003</v>
      </c>
      <c r="AH58" s="10" t="s">
        <v>69</v>
      </c>
      <c r="AI58" s="10">
        <v>54.332405009999967</v>
      </c>
    </row>
    <row r="59" spans="1:35" ht="15.75" x14ac:dyDescent="0.25">
      <c r="A59" s="13">
        <v>39114</v>
      </c>
      <c r="B59" s="10">
        <v>2557.6999999999998</v>
      </c>
      <c r="C59" s="10">
        <v>127.1</v>
      </c>
      <c r="D59" s="10">
        <v>2912.6</v>
      </c>
      <c r="E59" s="10">
        <v>1706.5</v>
      </c>
      <c r="F59" s="10">
        <v>93.2</v>
      </c>
      <c r="G59" s="10">
        <v>1127.5999999999999</v>
      </c>
      <c r="H59" s="10">
        <v>246.97942981000003</v>
      </c>
      <c r="I59" s="10">
        <v>135.70528607999998</v>
      </c>
      <c r="J59" s="10">
        <v>25.839777739999999</v>
      </c>
      <c r="K59" s="10">
        <v>349.8</v>
      </c>
      <c r="L59" s="10">
        <v>160</v>
      </c>
      <c r="M59" s="10">
        <v>273.53047635000001</v>
      </c>
      <c r="N59" s="10">
        <v>157.80206372000001</v>
      </c>
      <c r="O59" s="10">
        <v>166.20384346</v>
      </c>
      <c r="P59" s="10">
        <v>33.423354859999996</v>
      </c>
      <c r="Q59" s="10">
        <v>12.98107411</v>
      </c>
      <c r="R59" s="10">
        <v>150.69999999999999</v>
      </c>
      <c r="S59" s="10" t="s">
        <v>69</v>
      </c>
      <c r="T59" s="10">
        <v>76.129373939999979</v>
      </c>
      <c r="U59" s="10">
        <v>62.229966099999999</v>
      </c>
      <c r="V59" s="10">
        <v>1047.3</v>
      </c>
      <c r="W59" s="10">
        <v>440.41217889999996</v>
      </c>
      <c r="X59" s="10">
        <v>10.314099169999999</v>
      </c>
      <c r="Y59" s="10">
        <v>0.2975971</v>
      </c>
      <c r="Z59" s="10">
        <v>0.47717831000000005</v>
      </c>
      <c r="AA59" s="10" t="s">
        <v>69</v>
      </c>
      <c r="AB59" s="10">
        <v>82.702845550000006</v>
      </c>
      <c r="AC59" s="10">
        <v>1032.0729228899997</v>
      </c>
      <c r="AD59" s="10">
        <v>2166.3151851100001</v>
      </c>
      <c r="AE59" s="10">
        <v>597.14572553999994</v>
      </c>
      <c r="AF59" s="10">
        <v>254.89210929999999</v>
      </c>
      <c r="AG59" s="10">
        <v>54.992459000000004</v>
      </c>
      <c r="AH59" s="10" t="s">
        <v>69</v>
      </c>
      <c r="AI59" s="10">
        <v>5.2994242600000394</v>
      </c>
    </row>
    <row r="60" spans="1:35" ht="15.75" x14ac:dyDescent="0.25">
      <c r="A60" s="13">
        <v>39142</v>
      </c>
      <c r="B60" s="10">
        <v>2383.6579904499999</v>
      </c>
      <c r="C60" s="10">
        <v>157.04788611999999</v>
      </c>
      <c r="D60" s="10">
        <v>2867.9666099599999</v>
      </c>
      <c r="E60" s="10">
        <v>2037.1625015899999</v>
      </c>
      <c r="F60" s="10">
        <v>93.835795650000009</v>
      </c>
      <c r="G60" s="10">
        <v>1024.8152577400001</v>
      </c>
      <c r="H60" s="10">
        <v>215.81837901999998</v>
      </c>
      <c r="I60" s="10">
        <v>130.57843957999998</v>
      </c>
      <c r="J60" s="10">
        <v>33.795528080000004</v>
      </c>
      <c r="K60" s="10">
        <v>400.60435773</v>
      </c>
      <c r="L60" s="10">
        <v>200</v>
      </c>
      <c r="M60" s="10">
        <v>196.59416765</v>
      </c>
      <c r="N60" s="10">
        <v>144.24003131000001</v>
      </c>
      <c r="O60" s="10">
        <v>147.99827588000002</v>
      </c>
      <c r="P60" s="10">
        <v>27.787697829999992</v>
      </c>
      <c r="Q60" s="10">
        <v>11.958874060000001</v>
      </c>
      <c r="R60" s="10">
        <v>36.836177679999999</v>
      </c>
      <c r="S60" s="10" t="s">
        <v>69</v>
      </c>
      <c r="T60" s="10">
        <v>86.48363344000002</v>
      </c>
      <c r="U60" s="10">
        <v>62.677568739999998</v>
      </c>
      <c r="V60" s="10">
        <v>1471.4334887699999</v>
      </c>
      <c r="W60" s="10">
        <v>538.14596570000003</v>
      </c>
      <c r="X60" s="10">
        <v>12.01398069</v>
      </c>
      <c r="Y60" s="10">
        <v>0.23696092999999999</v>
      </c>
      <c r="Z60" s="10">
        <v>0.53137841999999991</v>
      </c>
      <c r="AA60" s="10" t="s">
        <v>69</v>
      </c>
      <c r="AB60" s="10">
        <v>102.03145637999999</v>
      </c>
      <c r="AC60" s="10">
        <v>1017.5834137500001</v>
      </c>
      <c r="AD60" s="10">
        <v>2199.0103258599997</v>
      </c>
      <c r="AE60" s="10">
        <v>598.02972237999995</v>
      </c>
      <c r="AF60" s="10">
        <v>259.41616975999995</v>
      </c>
      <c r="AG60" s="10">
        <v>62.458539920000007</v>
      </c>
      <c r="AH60" s="10" t="s">
        <v>69</v>
      </c>
      <c r="AI60" s="10">
        <v>-49.881973070000022</v>
      </c>
    </row>
    <row r="61" spans="1:35" ht="15.75" x14ac:dyDescent="0.25">
      <c r="A61" s="13">
        <v>39173</v>
      </c>
      <c r="B61" s="10">
        <v>1993.8178740800004</v>
      </c>
      <c r="C61" s="10">
        <v>138.06396158999999</v>
      </c>
      <c r="D61" s="10">
        <v>2930.2725630800001</v>
      </c>
      <c r="E61" s="10">
        <v>1788.56132379</v>
      </c>
      <c r="F61" s="10">
        <v>87.369055809999992</v>
      </c>
      <c r="G61" s="10">
        <v>1050.75900959</v>
      </c>
      <c r="H61" s="10">
        <v>273.28995483000006</v>
      </c>
      <c r="I61" s="10">
        <v>118.55855951999999</v>
      </c>
      <c r="J61" s="10">
        <v>36.622746770000006</v>
      </c>
      <c r="K61" s="10">
        <v>350.00175739000002</v>
      </c>
      <c r="L61" s="10">
        <v>180</v>
      </c>
      <c r="M61" s="10">
        <v>214.49878504999998</v>
      </c>
      <c r="N61" s="10">
        <v>171.56608271999997</v>
      </c>
      <c r="O61" s="10">
        <v>190.56314045000002</v>
      </c>
      <c r="P61" s="10">
        <v>32.333343579999998</v>
      </c>
      <c r="Q61" s="10">
        <v>13.186054449999999</v>
      </c>
      <c r="R61" s="10">
        <v>133.10102919999997</v>
      </c>
      <c r="S61" s="10" t="s">
        <v>69</v>
      </c>
      <c r="T61" s="10">
        <v>82.47206166999996</v>
      </c>
      <c r="U61" s="10">
        <v>59.301305839999998</v>
      </c>
      <c r="V61" s="10">
        <v>1450.6108710699998</v>
      </c>
      <c r="W61" s="10">
        <v>465.61793843999999</v>
      </c>
      <c r="X61" s="10">
        <v>10.855783889999996</v>
      </c>
      <c r="Y61" s="10">
        <v>0.12652155000000001</v>
      </c>
      <c r="Z61" s="10">
        <v>0.35140028000000001</v>
      </c>
      <c r="AA61" s="10" t="s">
        <v>69</v>
      </c>
      <c r="AB61" s="10">
        <v>92.017965110000006</v>
      </c>
      <c r="AC61" s="10">
        <v>1019.7492905600002</v>
      </c>
      <c r="AD61" s="10">
        <v>2173.0972990600003</v>
      </c>
      <c r="AE61" s="10">
        <v>592.61377739</v>
      </c>
      <c r="AF61" s="10">
        <v>255.00996734000003</v>
      </c>
      <c r="AG61" s="10">
        <v>58.861020199999977</v>
      </c>
      <c r="AH61" s="10" t="s">
        <v>69</v>
      </c>
      <c r="AI61" s="10">
        <v>30.089037749999999</v>
      </c>
    </row>
    <row r="62" spans="1:35" ht="15.75" x14ac:dyDescent="0.25">
      <c r="A62" s="13">
        <v>39203</v>
      </c>
      <c r="B62" s="10">
        <v>5164.9459382700006</v>
      </c>
      <c r="C62" s="10">
        <v>157.33699051000002</v>
      </c>
      <c r="D62" s="10">
        <v>3163.3315620099993</v>
      </c>
      <c r="E62" s="10">
        <v>2108.8035501300001</v>
      </c>
      <c r="F62" s="10">
        <v>176.62517778999998</v>
      </c>
      <c r="G62" s="10">
        <v>1280.3320765399999</v>
      </c>
      <c r="H62" s="10">
        <v>224.80384002999998</v>
      </c>
      <c r="I62" s="10">
        <v>128.28765527000002</v>
      </c>
      <c r="J62" s="10">
        <v>46.452083079999994</v>
      </c>
      <c r="K62" s="10">
        <v>220.10307348000001</v>
      </c>
      <c r="L62" s="10">
        <v>60</v>
      </c>
      <c r="M62" s="10">
        <v>153.93324154000001</v>
      </c>
      <c r="N62" s="10">
        <v>184.85219498000001</v>
      </c>
      <c r="O62" s="10">
        <v>175.70996732999998</v>
      </c>
      <c r="P62" s="10">
        <v>30.38709364</v>
      </c>
      <c r="Q62" s="10">
        <v>14.14916616</v>
      </c>
      <c r="R62" s="10">
        <v>1005.7551973500001</v>
      </c>
      <c r="S62" s="10" t="s">
        <v>69</v>
      </c>
      <c r="T62" s="10">
        <v>87.390075430000024</v>
      </c>
      <c r="U62" s="10">
        <v>72.356042190000011</v>
      </c>
      <c r="V62" s="10">
        <v>1790.8751611600001</v>
      </c>
      <c r="W62" s="10">
        <v>520.22059110999999</v>
      </c>
      <c r="X62" s="10">
        <v>11.932035070000001</v>
      </c>
      <c r="Y62" s="10">
        <v>4.9894980000000005E-2</v>
      </c>
      <c r="Z62" s="10">
        <v>0.48714016999999987</v>
      </c>
      <c r="AA62" s="10" t="s">
        <v>69</v>
      </c>
      <c r="AB62" s="10">
        <v>105.15304244999999</v>
      </c>
      <c r="AC62" s="10">
        <v>1107.0319972299999</v>
      </c>
      <c r="AD62" s="10">
        <v>2223.7483607899999</v>
      </c>
      <c r="AE62" s="10">
        <v>659.89844222999989</v>
      </c>
      <c r="AF62" s="10">
        <v>267.49444340999997</v>
      </c>
      <c r="AG62" s="10">
        <v>62.500824609999988</v>
      </c>
      <c r="AH62" s="10" t="s">
        <v>69</v>
      </c>
      <c r="AI62" s="10">
        <v>-1.4891568100000059</v>
      </c>
    </row>
    <row r="63" spans="1:35" ht="15.75" x14ac:dyDescent="0.25">
      <c r="A63" s="13">
        <v>39234</v>
      </c>
      <c r="B63" s="10">
        <v>5293.7209671500004</v>
      </c>
      <c r="C63" s="10">
        <v>159.02086890999999</v>
      </c>
      <c r="D63" s="10">
        <v>3228.4318145499997</v>
      </c>
      <c r="E63" s="10">
        <v>2107.4140138000002</v>
      </c>
      <c r="F63" s="10">
        <v>79.296927300000007</v>
      </c>
      <c r="G63" s="10">
        <v>1323.19983555</v>
      </c>
      <c r="H63" s="10">
        <v>240.41591075000005</v>
      </c>
      <c r="I63" s="10">
        <v>131.19999193999999</v>
      </c>
      <c r="J63" s="10">
        <v>23.871582449999991</v>
      </c>
      <c r="K63" s="10">
        <v>279.86157937999997</v>
      </c>
      <c r="L63" s="10">
        <v>120</v>
      </c>
      <c r="M63" s="10">
        <v>165.2895369</v>
      </c>
      <c r="N63" s="10">
        <v>162.74816385</v>
      </c>
      <c r="O63" s="10">
        <v>199.50575481000001</v>
      </c>
      <c r="P63" s="10">
        <v>31.637537179999999</v>
      </c>
      <c r="Q63" s="10">
        <v>14.27593761</v>
      </c>
      <c r="R63" s="10">
        <v>286.45830650999994</v>
      </c>
      <c r="S63" s="10" t="s">
        <v>69</v>
      </c>
      <c r="T63" s="10">
        <v>86.955334279999974</v>
      </c>
      <c r="U63" s="10">
        <v>78.297225559999987</v>
      </c>
      <c r="V63" s="10">
        <v>1525.8739402599999</v>
      </c>
      <c r="W63" s="10">
        <v>522.81282689</v>
      </c>
      <c r="X63" s="10">
        <v>12.085703990000001</v>
      </c>
      <c r="Y63" s="10">
        <v>1.8578250000000004E-2</v>
      </c>
      <c r="Z63" s="10">
        <v>0.32448520000000003</v>
      </c>
      <c r="AA63" s="10" t="s">
        <v>69</v>
      </c>
      <c r="AB63" s="10">
        <v>100.53045954</v>
      </c>
      <c r="AC63" s="10">
        <v>1078.7163995399999</v>
      </c>
      <c r="AD63" s="10">
        <v>2295.4271686400002</v>
      </c>
      <c r="AE63" s="10">
        <v>623.22709936999991</v>
      </c>
      <c r="AF63" s="10">
        <v>273.36340164999996</v>
      </c>
      <c r="AG63" s="10">
        <v>60.565259420000011</v>
      </c>
      <c r="AH63" s="10" t="s">
        <v>69</v>
      </c>
      <c r="AI63" s="10">
        <v>71.11692821000004</v>
      </c>
    </row>
    <row r="64" spans="1:35" ht="15.75" x14ac:dyDescent="0.25">
      <c r="A64" s="13">
        <v>39264</v>
      </c>
      <c r="B64" s="10">
        <v>3195.2</v>
      </c>
      <c r="C64" s="10">
        <v>200</v>
      </c>
      <c r="D64" s="10">
        <v>3380.7</v>
      </c>
      <c r="E64" s="10">
        <v>2524.6999999999998</v>
      </c>
      <c r="F64" s="10">
        <v>83</v>
      </c>
      <c r="G64" s="10">
        <v>1235.8</v>
      </c>
      <c r="H64" s="10">
        <v>220.67754102000001</v>
      </c>
      <c r="I64" s="10">
        <v>126.33034167000001</v>
      </c>
      <c r="J64" s="10">
        <v>48.407196160000005</v>
      </c>
      <c r="K64" s="10">
        <v>279.89999999999998</v>
      </c>
      <c r="L64" s="10">
        <v>120</v>
      </c>
      <c r="M64" s="10">
        <v>195.08205700999997</v>
      </c>
      <c r="N64" s="10">
        <v>167.49764621</v>
      </c>
      <c r="O64" s="10">
        <v>201.45731373000001</v>
      </c>
      <c r="P64" s="10">
        <v>32.132257129999992</v>
      </c>
      <c r="Q64" s="10">
        <v>14.769174189999999</v>
      </c>
      <c r="R64" s="10">
        <v>149</v>
      </c>
      <c r="S64" s="10" t="s">
        <v>69</v>
      </c>
      <c r="T64" s="10">
        <v>89.857276710000008</v>
      </c>
      <c r="U64" s="10">
        <v>78.090372190000011</v>
      </c>
      <c r="V64" s="10">
        <v>1637.6</v>
      </c>
      <c r="W64" s="10">
        <v>588.9530289500002</v>
      </c>
      <c r="X64" s="10">
        <v>13.606049229999998</v>
      </c>
      <c r="Y64" s="10">
        <v>0.13545023999999994</v>
      </c>
      <c r="Z64" s="10">
        <v>2.4000054100000003</v>
      </c>
      <c r="AA64" s="10" t="s">
        <v>69</v>
      </c>
      <c r="AB64" s="10">
        <v>119.69627627999998</v>
      </c>
      <c r="AC64" s="10">
        <v>1516.83426605</v>
      </c>
      <c r="AD64" s="10">
        <v>3055.34984665</v>
      </c>
      <c r="AE64" s="10">
        <v>947.33386548999988</v>
      </c>
      <c r="AF64" s="10">
        <v>371.65878514999997</v>
      </c>
      <c r="AG64" s="10">
        <v>62.92799448000001</v>
      </c>
      <c r="AH64" s="10" t="s">
        <v>69</v>
      </c>
      <c r="AI64" s="10">
        <v>-16.291985219999965</v>
      </c>
    </row>
    <row r="65" spans="1:35" ht="15.75" x14ac:dyDescent="0.25">
      <c r="A65" s="13">
        <v>39295</v>
      </c>
      <c r="B65" s="10">
        <v>3587.91962371</v>
      </c>
      <c r="C65" s="10">
        <v>230.72456983000001</v>
      </c>
      <c r="D65" s="10">
        <v>3479.0158872400002</v>
      </c>
      <c r="E65" s="10">
        <v>2785.8912389900001</v>
      </c>
      <c r="F65" s="10">
        <v>93.819241689999998</v>
      </c>
      <c r="G65" s="10">
        <v>1363.66154557</v>
      </c>
      <c r="H65" s="10">
        <v>256.55949922000002</v>
      </c>
      <c r="I65" s="10">
        <v>137.78038599000001</v>
      </c>
      <c r="J65" s="10">
        <v>34.599100200000002</v>
      </c>
      <c r="K65" s="10">
        <v>280.17647607999999</v>
      </c>
      <c r="L65" s="10">
        <v>127.5</v>
      </c>
      <c r="M65" s="10">
        <v>181.846789</v>
      </c>
      <c r="N65" s="10">
        <v>224.77716238999997</v>
      </c>
      <c r="O65" s="10">
        <v>229.43051428999999</v>
      </c>
      <c r="P65" s="10">
        <v>34.120784010000001</v>
      </c>
      <c r="Q65" s="10">
        <v>14.15135248</v>
      </c>
      <c r="R65" s="10">
        <v>202.14862293000002</v>
      </c>
      <c r="S65" s="10" t="s">
        <v>69</v>
      </c>
      <c r="T65" s="10">
        <v>91.790675230000033</v>
      </c>
      <c r="U65" s="10">
        <v>80.252380849999994</v>
      </c>
      <c r="V65" s="10">
        <v>1666.7588550400003</v>
      </c>
      <c r="W65" s="10">
        <v>646.22901266999997</v>
      </c>
      <c r="X65" s="10">
        <v>14.293653869999998</v>
      </c>
      <c r="Y65" s="10">
        <v>5.7528370000000002E-2</v>
      </c>
      <c r="Z65" s="10">
        <v>0.59269373000000003</v>
      </c>
      <c r="AA65" s="10" t="s">
        <v>69</v>
      </c>
      <c r="AB65" s="10">
        <v>130.46271302999997</v>
      </c>
      <c r="AC65" s="10">
        <v>1153.9592397299998</v>
      </c>
      <c r="AD65" s="10">
        <v>2458.3973218300007</v>
      </c>
      <c r="AE65" s="10">
        <v>680.86761356999978</v>
      </c>
      <c r="AF65" s="10">
        <v>300.19756762999998</v>
      </c>
      <c r="AG65" s="10">
        <v>64.306475710000001</v>
      </c>
      <c r="AH65" s="10" t="s">
        <v>69</v>
      </c>
      <c r="AI65" s="10">
        <v>10.810428260000055</v>
      </c>
    </row>
    <row r="66" spans="1:35" ht="15.75" x14ac:dyDescent="0.25">
      <c r="A66" s="13">
        <v>39326</v>
      </c>
      <c r="B66" s="10">
        <v>3318.5</v>
      </c>
      <c r="C66" s="10">
        <v>228.6</v>
      </c>
      <c r="D66" s="10">
        <v>3022.3</v>
      </c>
      <c r="E66" s="10">
        <v>2381.4</v>
      </c>
      <c r="F66" s="10">
        <v>148.5</v>
      </c>
      <c r="G66" s="10">
        <v>1367.1</v>
      </c>
      <c r="H66" s="10">
        <v>261.37318999000001</v>
      </c>
      <c r="I66" s="10">
        <v>158.18685081000004</v>
      </c>
      <c r="J66" s="10">
        <v>25.837189560000002</v>
      </c>
      <c r="K66" s="10">
        <v>279.89999999999998</v>
      </c>
      <c r="L66" s="10">
        <v>120</v>
      </c>
      <c r="M66" s="10">
        <v>294.83395274999998</v>
      </c>
      <c r="N66" s="10">
        <v>237.44755387000001</v>
      </c>
      <c r="O66" s="10">
        <v>173.68603844999998</v>
      </c>
      <c r="P66" s="10">
        <v>33.260005400000004</v>
      </c>
      <c r="Q66" s="10">
        <v>13.74503543</v>
      </c>
      <c r="R66" s="10">
        <v>58.6</v>
      </c>
      <c r="S66" s="10" t="s">
        <v>69</v>
      </c>
      <c r="T66" s="10">
        <v>90.125940729999996</v>
      </c>
      <c r="U66" s="10">
        <v>76.262031999999991</v>
      </c>
      <c r="V66" s="10">
        <v>1665.3</v>
      </c>
      <c r="W66" s="10">
        <v>592.01645286999997</v>
      </c>
      <c r="X66" s="10">
        <v>13.265957009999997</v>
      </c>
      <c r="Y66" s="10">
        <v>9.4544700000000013E-3</v>
      </c>
      <c r="Z66" s="10">
        <v>0.42515036000000012</v>
      </c>
      <c r="AA66" s="10" t="s">
        <v>69</v>
      </c>
      <c r="AB66" s="10">
        <v>115.58126799999998</v>
      </c>
      <c r="AC66" s="10">
        <v>1172.1381575799999</v>
      </c>
      <c r="AD66" s="10">
        <v>2493.86507592</v>
      </c>
      <c r="AE66" s="10">
        <v>674.30338416000018</v>
      </c>
      <c r="AF66" s="10">
        <v>291.12160728999993</v>
      </c>
      <c r="AG66" s="10">
        <v>63.417328810000001</v>
      </c>
      <c r="AH66" s="10" t="s">
        <v>69</v>
      </c>
      <c r="AI66" s="10">
        <v>14.231492519999968</v>
      </c>
    </row>
    <row r="67" spans="1:35" ht="15.75" x14ac:dyDescent="0.25">
      <c r="A67" s="13">
        <v>39356</v>
      </c>
      <c r="B67" s="10">
        <v>3071.7036384499997</v>
      </c>
      <c r="C67" s="10">
        <v>266.11827396000001</v>
      </c>
      <c r="D67" s="10">
        <v>3237.9539356499999</v>
      </c>
      <c r="E67" s="10">
        <v>2910.78456314</v>
      </c>
      <c r="F67" s="10">
        <v>114.09770657</v>
      </c>
      <c r="G67" s="10">
        <v>1316.7894311800001</v>
      </c>
      <c r="H67" s="10">
        <v>245.95485223000003</v>
      </c>
      <c r="I67" s="10">
        <v>159.60721965000002</v>
      </c>
      <c r="J67" s="10">
        <v>51.930487339999999</v>
      </c>
      <c r="K67" s="10">
        <v>355.02123167000002</v>
      </c>
      <c r="L67" s="10">
        <v>315</v>
      </c>
      <c r="M67" s="10">
        <v>246.34957310000001</v>
      </c>
      <c r="N67" s="10">
        <v>176.31377909</v>
      </c>
      <c r="O67" s="10">
        <v>205.3199659</v>
      </c>
      <c r="P67" s="10">
        <v>30.547737709999996</v>
      </c>
      <c r="Q67" s="10">
        <v>15.61518689</v>
      </c>
      <c r="R67" s="10">
        <v>193.40938143</v>
      </c>
      <c r="S67" s="10" t="s">
        <v>69</v>
      </c>
      <c r="T67" s="10">
        <v>96.419787350000021</v>
      </c>
      <c r="U67" s="10">
        <v>74.409284530000008</v>
      </c>
      <c r="V67" s="10">
        <v>2121.25882895</v>
      </c>
      <c r="W67" s="10">
        <v>733.23071240999991</v>
      </c>
      <c r="X67" s="10">
        <v>16.212166549999996</v>
      </c>
      <c r="Y67" s="10">
        <v>7.6169139999999996E-2</v>
      </c>
      <c r="Z67" s="10">
        <v>1.8391516300000001</v>
      </c>
      <c r="AA67" s="10" t="s">
        <v>69</v>
      </c>
      <c r="AB67" s="10">
        <v>137.13174164999998</v>
      </c>
      <c r="AC67" s="10">
        <v>1304.2855472700001</v>
      </c>
      <c r="AD67" s="10">
        <v>2439.6509166000005</v>
      </c>
      <c r="AE67" s="10">
        <v>684.83567275000007</v>
      </c>
      <c r="AF67" s="10">
        <v>294.24475831999996</v>
      </c>
      <c r="AG67" s="10">
        <v>66.022394050000003</v>
      </c>
      <c r="AH67" s="10" t="s">
        <v>69</v>
      </c>
      <c r="AI67" s="10">
        <v>-1.921560889999957</v>
      </c>
    </row>
    <row r="68" spans="1:35" ht="15.75" x14ac:dyDescent="0.25">
      <c r="A68" s="13">
        <v>39387</v>
      </c>
      <c r="B68" s="10">
        <v>3464.5380623300002</v>
      </c>
      <c r="C68" s="10">
        <v>243.47398125999999</v>
      </c>
      <c r="D68" s="10">
        <v>3640.67545006</v>
      </c>
      <c r="E68" s="10">
        <v>2833.52757251</v>
      </c>
      <c r="F68" s="10">
        <v>119.01173152000001</v>
      </c>
      <c r="G68" s="10">
        <v>1504.9677104400002</v>
      </c>
      <c r="H68" s="10">
        <v>281.70960198999995</v>
      </c>
      <c r="I68" s="10">
        <v>187.55684223</v>
      </c>
      <c r="J68" s="10">
        <v>28.264037389999999</v>
      </c>
      <c r="K68" s="10">
        <v>599.93287281000005</v>
      </c>
      <c r="L68" s="10">
        <v>250</v>
      </c>
      <c r="M68" s="10">
        <v>237.85037022</v>
      </c>
      <c r="N68" s="10">
        <v>223.14674531999998</v>
      </c>
      <c r="O68" s="10">
        <v>213.56406319999999</v>
      </c>
      <c r="P68" s="10">
        <v>34.964856530000006</v>
      </c>
      <c r="Q68" s="10">
        <v>15.416167049999999</v>
      </c>
      <c r="R68" s="10">
        <v>51.686611050000003</v>
      </c>
      <c r="S68" s="10" t="s">
        <v>69</v>
      </c>
      <c r="T68" s="10">
        <v>96.356815880000028</v>
      </c>
      <c r="U68" s="10">
        <v>85.137796829999985</v>
      </c>
      <c r="V68" s="10">
        <v>2203.0793685999997</v>
      </c>
      <c r="W68" s="10">
        <v>730.38125832999981</v>
      </c>
      <c r="X68" s="10">
        <v>16.413225529999998</v>
      </c>
      <c r="Y68" s="10">
        <v>3.728368E-2</v>
      </c>
      <c r="Z68" s="10">
        <v>0.41394635000000013</v>
      </c>
      <c r="AA68" s="10" t="s">
        <v>69</v>
      </c>
      <c r="AB68" s="10">
        <v>136.08647705999999</v>
      </c>
      <c r="AC68" s="10">
        <v>1279.95611487</v>
      </c>
      <c r="AD68" s="10">
        <v>2524.8748497700003</v>
      </c>
      <c r="AE68" s="10">
        <v>698.55050111000003</v>
      </c>
      <c r="AF68" s="10">
        <v>306.45706072000002</v>
      </c>
      <c r="AG68" s="10">
        <v>66.10695527999998</v>
      </c>
      <c r="AH68" s="10" t="s">
        <v>69</v>
      </c>
      <c r="AI68" s="10">
        <v>-0.862688400000161</v>
      </c>
    </row>
    <row r="69" spans="1:35" ht="15.75" x14ac:dyDescent="0.25">
      <c r="A69" s="13">
        <v>39417</v>
      </c>
      <c r="B69" s="10">
        <v>3704.7434301899998</v>
      </c>
      <c r="C69" s="10">
        <v>209.85616514</v>
      </c>
      <c r="D69" s="10">
        <v>4150.2518001199996</v>
      </c>
      <c r="E69" s="10">
        <v>2388.1376126700002</v>
      </c>
      <c r="F69" s="10">
        <v>119.60524445999999</v>
      </c>
      <c r="G69" s="10">
        <v>1407.81566767</v>
      </c>
      <c r="H69" s="10">
        <v>289.74584869999995</v>
      </c>
      <c r="I69" s="10">
        <v>162.59834203</v>
      </c>
      <c r="J69" s="10">
        <v>39.352091200000004</v>
      </c>
      <c r="K69" s="10">
        <v>145.03014009999998</v>
      </c>
      <c r="L69" s="10">
        <v>100</v>
      </c>
      <c r="M69" s="10">
        <v>249.32612855000002</v>
      </c>
      <c r="N69" s="10">
        <v>229.47796216</v>
      </c>
      <c r="O69" s="10">
        <v>247.78816486000002</v>
      </c>
      <c r="P69" s="10">
        <v>49.568194040000009</v>
      </c>
      <c r="Q69" s="10">
        <v>14.29487595</v>
      </c>
      <c r="R69" s="10">
        <v>183.88685487000001</v>
      </c>
      <c r="S69" s="10" t="s">
        <v>69</v>
      </c>
      <c r="T69" s="10">
        <v>96.343988499999995</v>
      </c>
      <c r="U69" s="10">
        <v>78.259800349999992</v>
      </c>
      <c r="V69" s="10">
        <v>2620.4510547000004</v>
      </c>
      <c r="W69" s="10">
        <v>608.13285367000015</v>
      </c>
      <c r="X69" s="10">
        <v>13.603390579999999</v>
      </c>
      <c r="Y69" s="10">
        <v>5.0619279999999996E-2</v>
      </c>
      <c r="Z69" s="10">
        <v>0.56743572000000009</v>
      </c>
      <c r="AA69" s="10" t="s">
        <v>69</v>
      </c>
      <c r="AB69" s="10">
        <v>113.82147199000002</v>
      </c>
      <c r="AC69" s="10">
        <v>1303.3363112999998</v>
      </c>
      <c r="AD69" s="10">
        <v>2587.1808872999991</v>
      </c>
      <c r="AE69" s="10">
        <v>702.12041277999992</v>
      </c>
      <c r="AF69" s="10">
        <v>297.40269573</v>
      </c>
      <c r="AG69" s="10">
        <v>65.811467609999994</v>
      </c>
      <c r="AH69" s="10" t="s">
        <v>69</v>
      </c>
      <c r="AI69" s="10">
        <v>-77.916663329999935</v>
      </c>
    </row>
    <row r="70" spans="1:35" ht="15.75" x14ac:dyDescent="0.25">
      <c r="A70" s="13">
        <v>39448</v>
      </c>
      <c r="B70" s="10">
        <v>3702.9855524099994</v>
      </c>
      <c r="C70" s="10">
        <v>237.39089263</v>
      </c>
      <c r="D70" s="10">
        <v>4270.1206520300002</v>
      </c>
      <c r="E70" s="10">
        <v>2808.23044966</v>
      </c>
      <c r="F70" s="10">
        <v>105.29093810000002</v>
      </c>
      <c r="G70" s="10">
        <v>1579.6611691600001</v>
      </c>
      <c r="H70" s="10">
        <v>312.17710821000003</v>
      </c>
      <c r="I70" s="10">
        <v>179.76486380000003</v>
      </c>
      <c r="J70" s="10">
        <v>59.778561299999993</v>
      </c>
      <c r="K70" s="10">
        <v>350.10524354</v>
      </c>
      <c r="L70" s="10">
        <v>250</v>
      </c>
      <c r="M70" s="10">
        <v>226.61943357999999</v>
      </c>
      <c r="N70" s="10">
        <v>153.35108615999999</v>
      </c>
      <c r="O70" s="10">
        <v>128.13430100000002</v>
      </c>
      <c r="P70" s="10">
        <v>26.668950339999995</v>
      </c>
      <c r="Q70" s="10">
        <v>15.522474530000002</v>
      </c>
      <c r="R70" s="10">
        <v>42.744459470000002</v>
      </c>
      <c r="S70" s="10" t="s">
        <v>69</v>
      </c>
      <c r="T70" s="10">
        <v>103.44182323999998</v>
      </c>
      <c r="U70" s="10">
        <v>77.279908579999997</v>
      </c>
      <c r="V70" s="10">
        <v>3215.2117975700003</v>
      </c>
      <c r="W70" s="10">
        <v>717.78691304000006</v>
      </c>
      <c r="X70" s="10">
        <v>15.870197840000005</v>
      </c>
      <c r="Y70" s="10">
        <v>6.8031999999999997E-3</v>
      </c>
      <c r="Z70" s="10">
        <v>0.61803196999999999</v>
      </c>
      <c r="AA70" s="10" t="s">
        <v>69</v>
      </c>
      <c r="AB70" s="10">
        <v>125.93554500999998</v>
      </c>
      <c r="AC70" s="10">
        <v>1747.2735675200004</v>
      </c>
      <c r="AD70" s="10">
        <v>3519.5861080999989</v>
      </c>
      <c r="AE70" s="10">
        <v>1063.8289044600001</v>
      </c>
      <c r="AF70" s="10">
        <v>432.72751629999993</v>
      </c>
      <c r="AG70" s="10">
        <v>71.892491950000021</v>
      </c>
      <c r="AH70" s="10" t="s">
        <v>69</v>
      </c>
      <c r="AI70" s="10">
        <v>37.59747971999996</v>
      </c>
    </row>
    <row r="71" spans="1:35" ht="15.75" x14ac:dyDescent="0.25">
      <c r="A71" s="13">
        <v>39479</v>
      </c>
      <c r="B71" s="10">
        <v>3593.5374467000001</v>
      </c>
      <c r="C71" s="10">
        <v>209.92627149</v>
      </c>
      <c r="D71" s="10">
        <v>3832.6269453600003</v>
      </c>
      <c r="E71" s="10">
        <v>2533.57874343</v>
      </c>
      <c r="F71" s="10">
        <v>95.518455009999997</v>
      </c>
      <c r="G71" s="10">
        <v>1505.0983166200001</v>
      </c>
      <c r="H71" s="10">
        <v>291.66974311999996</v>
      </c>
      <c r="I71" s="10">
        <v>159.90216346</v>
      </c>
      <c r="J71" s="10">
        <v>30.016785879999993</v>
      </c>
      <c r="K71" s="10">
        <v>450</v>
      </c>
      <c r="L71" s="10">
        <v>300</v>
      </c>
      <c r="M71" s="10">
        <v>390.35548842000003</v>
      </c>
      <c r="N71" s="10">
        <v>217.61079157</v>
      </c>
      <c r="O71" s="10">
        <v>251.49936477</v>
      </c>
      <c r="P71" s="10">
        <v>33.057568319999994</v>
      </c>
      <c r="Q71" s="10">
        <v>13.803754920000001</v>
      </c>
      <c r="R71" s="10">
        <v>168.52031460000001</v>
      </c>
      <c r="S71" s="10" t="s">
        <v>69</v>
      </c>
      <c r="T71" s="10">
        <v>101.23285044999999</v>
      </c>
      <c r="U71" s="10">
        <v>73.049530349999998</v>
      </c>
      <c r="V71" s="10">
        <v>2525.73841735</v>
      </c>
      <c r="W71" s="10">
        <v>641.00093002999995</v>
      </c>
      <c r="X71" s="10">
        <v>13.88043759</v>
      </c>
      <c r="Y71" s="10">
        <v>1.071361E-2</v>
      </c>
      <c r="Z71" s="10">
        <v>0.62852715999999997</v>
      </c>
      <c r="AA71" s="10" t="s">
        <v>69</v>
      </c>
      <c r="AB71" s="10">
        <v>121.29638032000003</v>
      </c>
      <c r="AC71" s="10">
        <v>1661.7754740399998</v>
      </c>
      <c r="AD71" s="10">
        <v>2844.2560690499986</v>
      </c>
      <c r="AE71" s="10">
        <v>779.29093562000025</v>
      </c>
      <c r="AF71" s="10">
        <v>330.32651553000005</v>
      </c>
      <c r="AG71" s="10">
        <v>66.793451770000004</v>
      </c>
      <c r="AH71" s="10" t="s">
        <v>69</v>
      </c>
      <c r="AI71" s="10">
        <v>81.601300810000026</v>
      </c>
    </row>
    <row r="72" spans="1:35" ht="15.75" x14ac:dyDescent="0.25">
      <c r="A72" s="13">
        <v>39508</v>
      </c>
      <c r="B72" s="10">
        <v>2849.7501601699996</v>
      </c>
      <c r="C72" s="10">
        <v>199.26475945999999</v>
      </c>
      <c r="D72" s="10">
        <v>3768.7467136400001</v>
      </c>
      <c r="E72" s="10">
        <v>2462.0490008399997</v>
      </c>
      <c r="F72" s="10">
        <v>96.031819539999987</v>
      </c>
      <c r="G72" s="10">
        <v>1274.24353705</v>
      </c>
      <c r="H72" s="10">
        <v>283.47222683000007</v>
      </c>
      <c r="I72" s="10">
        <v>131.58012690000001</v>
      </c>
      <c r="J72" s="10">
        <v>41.520235360000001</v>
      </c>
      <c r="K72" s="10">
        <v>475</v>
      </c>
      <c r="L72" s="10">
        <v>325</v>
      </c>
      <c r="M72" s="10">
        <v>329.05524959000002</v>
      </c>
      <c r="N72" s="10">
        <v>196.81479830000001</v>
      </c>
      <c r="O72" s="10">
        <v>224.92591720999999</v>
      </c>
      <c r="P72" s="10">
        <v>35.514929919999986</v>
      </c>
      <c r="Q72" s="10">
        <v>13.868248070000002</v>
      </c>
      <c r="R72" s="10">
        <v>47.803115759999997</v>
      </c>
      <c r="S72" s="10" t="s">
        <v>69</v>
      </c>
      <c r="T72" s="10">
        <v>97.459223600000001</v>
      </c>
      <c r="U72" s="10">
        <v>76.412018409999988</v>
      </c>
      <c r="V72" s="10">
        <v>2199.5194753000001</v>
      </c>
      <c r="W72" s="10">
        <v>669.87291468000001</v>
      </c>
      <c r="X72" s="10">
        <v>13.282172070000003</v>
      </c>
      <c r="Y72" s="10">
        <v>2.8117970000000003E-2</v>
      </c>
      <c r="Z72" s="10">
        <v>2.1970519399999997</v>
      </c>
      <c r="AA72" s="10" t="s">
        <v>69</v>
      </c>
      <c r="AB72" s="10">
        <v>121.71544714000002</v>
      </c>
      <c r="AC72" s="10">
        <v>1619.7546236000003</v>
      </c>
      <c r="AD72" s="10">
        <v>2710.1359124700002</v>
      </c>
      <c r="AE72" s="10">
        <v>758.99306668000008</v>
      </c>
      <c r="AF72" s="10">
        <v>322.64119893999998</v>
      </c>
      <c r="AG72" s="10">
        <v>67.836026880000006</v>
      </c>
      <c r="AH72" s="10" t="s">
        <v>69</v>
      </c>
      <c r="AI72" s="10">
        <v>59.75833656999994</v>
      </c>
    </row>
    <row r="73" spans="1:35" ht="15.75" x14ac:dyDescent="0.25">
      <c r="A73" s="13">
        <v>39539</v>
      </c>
      <c r="B73" s="10">
        <v>2778.1315678199999</v>
      </c>
      <c r="C73" s="10">
        <v>246.12438574999999</v>
      </c>
      <c r="D73" s="10">
        <v>4079.8353463200001</v>
      </c>
      <c r="E73" s="10">
        <v>2976.4536272799996</v>
      </c>
      <c r="F73" s="10">
        <v>97.580188510000013</v>
      </c>
      <c r="G73" s="10">
        <v>1605.0605286499999</v>
      </c>
      <c r="H73" s="10">
        <v>283.31054541000003</v>
      </c>
      <c r="I73" s="10">
        <v>186.13194711999998</v>
      </c>
      <c r="J73" s="10">
        <v>45.286183019999996</v>
      </c>
      <c r="K73" s="10">
        <v>475</v>
      </c>
      <c r="L73" s="10">
        <v>200</v>
      </c>
      <c r="M73" s="10">
        <v>258.44970826999997</v>
      </c>
      <c r="N73" s="10">
        <v>210.95091367000001</v>
      </c>
      <c r="O73" s="10">
        <v>242.58508254</v>
      </c>
      <c r="P73" s="10">
        <v>35.396556390000008</v>
      </c>
      <c r="Q73" s="10">
        <v>16.736160890000001</v>
      </c>
      <c r="R73" s="10">
        <v>163.28672899000003</v>
      </c>
      <c r="S73" s="10" t="s">
        <v>69</v>
      </c>
      <c r="T73" s="10">
        <v>111.15140186999997</v>
      </c>
      <c r="U73" s="10">
        <v>85.537147340000004</v>
      </c>
      <c r="V73" s="10">
        <v>2997.8563884200003</v>
      </c>
      <c r="W73" s="10">
        <v>777.16001309000012</v>
      </c>
      <c r="X73" s="10">
        <v>16.326259959999994</v>
      </c>
      <c r="Y73" s="10">
        <v>8.4028300000000018E-3</v>
      </c>
      <c r="Z73" s="10">
        <v>0.43057910999999982</v>
      </c>
      <c r="AA73" s="10" t="s">
        <v>69</v>
      </c>
      <c r="AB73" s="10">
        <v>141.49995931000001</v>
      </c>
      <c r="AC73" s="10">
        <v>1754.8765643900001</v>
      </c>
      <c r="AD73" s="10">
        <v>2945.46018138</v>
      </c>
      <c r="AE73" s="10">
        <v>798.48611224000012</v>
      </c>
      <c r="AF73" s="10">
        <v>347.20698071999993</v>
      </c>
      <c r="AG73" s="10">
        <v>85.567232399999995</v>
      </c>
      <c r="AH73" s="10" t="s">
        <v>69</v>
      </c>
      <c r="AI73" s="10">
        <v>-37.85452658000024</v>
      </c>
    </row>
    <row r="74" spans="1:35" ht="15.75" x14ac:dyDescent="0.25">
      <c r="A74" s="13">
        <v>39569</v>
      </c>
      <c r="B74" s="10">
        <v>5031.1000000000004</v>
      </c>
      <c r="C74" s="10">
        <v>244.7</v>
      </c>
      <c r="D74" s="10">
        <v>4149</v>
      </c>
      <c r="E74" s="10">
        <v>3162.3</v>
      </c>
      <c r="F74" s="10">
        <v>176.8</v>
      </c>
      <c r="G74" s="10">
        <v>1685.8</v>
      </c>
      <c r="H74" s="10">
        <v>287.54717099000004</v>
      </c>
      <c r="I74" s="10">
        <v>164.50931530000003</v>
      </c>
      <c r="J74" s="10">
        <v>41.39313817</v>
      </c>
      <c r="K74" s="10">
        <v>600</v>
      </c>
      <c r="L74" s="10">
        <v>150</v>
      </c>
      <c r="M74" s="10">
        <v>249.85460313999997</v>
      </c>
      <c r="N74" s="10">
        <v>200.6324851</v>
      </c>
      <c r="O74" s="10">
        <v>250.37711340000001</v>
      </c>
      <c r="P74" s="10">
        <v>35.318141939999997</v>
      </c>
      <c r="Q74" s="10">
        <v>14.596160429999999</v>
      </c>
      <c r="R74" s="10">
        <v>1205.4000000000001</v>
      </c>
      <c r="S74" s="10" t="s">
        <v>69</v>
      </c>
      <c r="T74" s="10">
        <v>112.63282986999998</v>
      </c>
      <c r="U74" s="10">
        <v>89.772050910000004</v>
      </c>
      <c r="V74" s="10">
        <v>3219.2</v>
      </c>
      <c r="W74" s="10">
        <v>715.22894630999986</v>
      </c>
      <c r="X74" s="10">
        <v>15.327554469999999</v>
      </c>
      <c r="Y74" s="10">
        <v>1.7969120000000002E-2</v>
      </c>
      <c r="Z74" s="10">
        <v>0.40274643999999998</v>
      </c>
      <c r="AA74" s="10" t="s">
        <v>69</v>
      </c>
      <c r="AB74" s="10">
        <v>139.64756859000002</v>
      </c>
      <c r="AC74" s="10">
        <v>1832.785080930001</v>
      </c>
      <c r="AD74" s="10">
        <v>3080.5537083200006</v>
      </c>
      <c r="AE74" s="10">
        <v>827.82331122000005</v>
      </c>
      <c r="AF74" s="10">
        <v>360.22614188</v>
      </c>
      <c r="AG74" s="10">
        <v>87.815427079999964</v>
      </c>
      <c r="AH74" s="10" t="s">
        <v>69</v>
      </c>
      <c r="AI74" s="10">
        <v>1.3866872299998831</v>
      </c>
    </row>
    <row r="75" spans="1:35" ht="15.75" x14ac:dyDescent="0.25">
      <c r="A75" s="13">
        <v>39600</v>
      </c>
      <c r="B75" s="10">
        <v>6417.9529172299999</v>
      </c>
      <c r="C75" s="10">
        <v>253.61242964000002</v>
      </c>
      <c r="D75" s="10">
        <v>4029.8874892399999</v>
      </c>
      <c r="E75" s="10">
        <v>3199.6736919099999</v>
      </c>
      <c r="F75" s="10">
        <v>65.565615649999998</v>
      </c>
      <c r="G75" s="10">
        <v>1527.8286395300001</v>
      </c>
      <c r="H75" s="10">
        <v>302.40529719999989</v>
      </c>
      <c r="I75" s="10">
        <v>148.74148324000001</v>
      </c>
      <c r="J75" s="10">
        <v>41.701899400000009</v>
      </c>
      <c r="K75" s="10">
        <v>600</v>
      </c>
      <c r="L75" s="10">
        <v>140</v>
      </c>
      <c r="M75" s="10">
        <v>277.31946309</v>
      </c>
      <c r="N75" s="10">
        <v>273.57562809000001</v>
      </c>
      <c r="O75" s="10">
        <v>245.37904644000002</v>
      </c>
      <c r="P75" s="10">
        <v>35.258742400000003</v>
      </c>
      <c r="Q75" s="10">
        <v>14.029962499999998</v>
      </c>
      <c r="R75" s="10">
        <v>402.81048032000001</v>
      </c>
      <c r="S75" s="10" t="s">
        <v>69</v>
      </c>
      <c r="T75" s="10">
        <v>110.33604542</v>
      </c>
      <c r="U75" s="10">
        <v>85.990711349999984</v>
      </c>
      <c r="V75" s="10">
        <v>2297.7113407100001</v>
      </c>
      <c r="W75" s="10">
        <v>698.89253396999982</v>
      </c>
      <c r="X75" s="10">
        <v>14.520659899999998</v>
      </c>
      <c r="Y75" s="10">
        <v>6.0033500000000002E-3</v>
      </c>
      <c r="Z75" s="10">
        <v>0.42587844000000002</v>
      </c>
      <c r="AA75" s="10" t="s">
        <v>69</v>
      </c>
      <c r="AB75" s="10">
        <v>139.49979264999999</v>
      </c>
      <c r="AC75" s="10">
        <v>1853.4519215200003</v>
      </c>
      <c r="AD75" s="10">
        <v>3031.5386455600001</v>
      </c>
      <c r="AE75" s="10">
        <v>830.20643917000018</v>
      </c>
      <c r="AF75" s="10">
        <v>361.87385846000001</v>
      </c>
      <c r="AG75" s="10">
        <v>85.431760720000014</v>
      </c>
      <c r="AH75" s="10" t="s">
        <v>69</v>
      </c>
      <c r="AI75" s="10">
        <v>27.128390629999878</v>
      </c>
    </row>
    <row r="76" spans="1:35" ht="15.75" x14ac:dyDescent="0.25">
      <c r="A76" s="13">
        <v>39630</v>
      </c>
      <c r="B76" s="10">
        <v>4517.4162296300001</v>
      </c>
      <c r="C76" s="10">
        <v>311.50869576000002</v>
      </c>
      <c r="D76" s="10">
        <v>3947.2366312700005</v>
      </c>
      <c r="E76" s="10">
        <v>3490.5785897199999</v>
      </c>
      <c r="F76" s="10">
        <v>62.316111950000007</v>
      </c>
      <c r="G76" s="10">
        <v>1732.6574669700001</v>
      </c>
      <c r="H76" s="10">
        <v>279.72633429000001</v>
      </c>
      <c r="I76" s="10">
        <v>156.09312839000003</v>
      </c>
      <c r="J76" s="10">
        <v>54.963429070000004</v>
      </c>
      <c r="K76" s="10">
        <v>591</v>
      </c>
      <c r="L76" s="10">
        <v>179</v>
      </c>
      <c r="M76" s="10">
        <v>274.65796827999998</v>
      </c>
      <c r="N76" s="10">
        <v>203.29212955</v>
      </c>
      <c r="O76" s="10">
        <v>208.55307460000003</v>
      </c>
      <c r="P76" s="10">
        <v>35.959830550000014</v>
      </c>
      <c r="Q76" s="10">
        <v>14.365722459999999</v>
      </c>
      <c r="R76" s="10">
        <v>277.82293311000001</v>
      </c>
      <c r="S76" s="10" t="s">
        <v>69</v>
      </c>
      <c r="T76" s="10">
        <v>116.93756321999999</v>
      </c>
      <c r="U76" s="10">
        <v>86.56277741000001</v>
      </c>
      <c r="V76" s="10">
        <v>3366.4548786399996</v>
      </c>
      <c r="W76" s="10">
        <v>779.00189391000004</v>
      </c>
      <c r="X76" s="10">
        <v>16.481389869999997</v>
      </c>
      <c r="Y76" s="10">
        <v>-0.49137342000000001</v>
      </c>
      <c r="Z76" s="10">
        <v>0.46573088000000001</v>
      </c>
      <c r="AA76" s="10" t="s">
        <v>69</v>
      </c>
      <c r="AB76" s="10">
        <v>153.77479158999998</v>
      </c>
      <c r="AC76" s="10">
        <v>2565.7817752199994</v>
      </c>
      <c r="AD76" s="10">
        <v>4098.8625815300002</v>
      </c>
      <c r="AE76" s="10">
        <v>1221.9736445199999</v>
      </c>
      <c r="AF76" s="10">
        <v>504.39551422999995</v>
      </c>
      <c r="AG76" s="10">
        <v>91.645653579999987</v>
      </c>
      <c r="AH76" s="10" t="s">
        <v>69</v>
      </c>
      <c r="AI76" s="10">
        <v>51.049129659999821</v>
      </c>
    </row>
    <row r="77" spans="1:35" ht="15.75" x14ac:dyDescent="0.25">
      <c r="A77" s="13">
        <v>39661</v>
      </c>
      <c r="B77" s="10">
        <v>4662.8999999999996</v>
      </c>
      <c r="C77" s="10">
        <v>309.2</v>
      </c>
      <c r="D77" s="10">
        <v>4407.5</v>
      </c>
      <c r="E77" s="10">
        <v>3179.9</v>
      </c>
      <c r="F77" s="10">
        <v>57.9</v>
      </c>
      <c r="G77" s="10">
        <v>1745.3</v>
      </c>
      <c r="H77" s="10">
        <v>286.43669965999999</v>
      </c>
      <c r="I77" s="10">
        <v>165.72829251000002</v>
      </c>
      <c r="J77" s="10">
        <v>44.15561889</v>
      </c>
      <c r="K77" s="10">
        <v>480</v>
      </c>
      <c r="L77" s="10">
        <v>400</v>
      </c>
      <c r="M77" s="10">
        <v>295.23913743999998</v>
      </c>
      <c r="N77" s="10">
        <v>179.22663556999998</v>
      </c>
      <c r="O77" s="10">
        <v>267.13750876</v>
      </c>
      <c r="P77" s="10">
        <v>39.355836149999995</v>
      </c>
      <c r="Q77" s="10">
        <v>14.673072199999998</v>
      </c>
      <c r="R77" s="10">
        <v>325.3</v>
      </c>
      <c r="S77" s="10" t="s">
        <v>69</v>
      </c>
      <c r="T77" s="10">
        <v>114.96750456999999</v>
      </c>
      <c r="U77" s="10">
        <v>93.075453659999994</v>
      </c>
      <c r="V77" s="10">
        <v>3914.2</v>
      </c>
      <c r="W77" s="10">
        <v>754.44422951999979</v>
      </c>
      <c r="X77" s="10">
        <v>15.198610600000002</v>
      </c>
      <c r="Y77" s="10">
        <v>1.1063420000000001E-2</v>
      </c>
      <c r="Z77" s="10">
        <v>0.49641892000000004</v>
      </c>
      <c r="AA77" s="10" t="s">
        <v>69</v>
      </c>
      <c r="AB77" s="10">
        <v>148.68363793</v>
      </c>
      <c r="AC77" s="10">
        <v>1950.5855656699998</v>
      </c>
      <c r="AD77" s="10">
        <v>3211.84857913</v>
      </c>
      <c r="AE77" s="10">
        <v>946.35510176999981</v>
      </c>
      <c r="AF77" s="10">
        <v>393.84478285000006</v>
      </c>
      <c r="AG77" s="10">
        <v>88.671837839999995</v>
      </c>
      <c r="AH77" s="10" t="s">
        <v>69</v>
      </c>
      <c r="AI77" s="10">
        <v>97.620852649999577</v>
      </c>
    </row>
    <row r="78" spans="1:35" ht="15.75" x14ac:dyDescent="0.25">
      <c r="A78" s="13">
        <v>39692</v>
      </c>
      <c r="B78" s="10">
        <v>4083.8179934500004</v>
      </c>
      <c r="C78" s="10">
        <v>313.87460710000005</v>
      </c>
      <c r="D78" s="10">
        <v>4337.3950597900002</v>
      </c>
      <c r="E78" s="10">
        <v>3358.54801017</v>
      </c>
      <c r="F78" s="10">
        <v>56.381098439999995</v>
      </c>
      <c r="G78" s="10">
        <v>1684.4664865600002</v>
      </c>
      <c r="H78" s="10">
        <v>308.91812649999997</v>
      </c>
      <c r="I78" s="10">
        <v>163.88443256000005</v>
      </c>
      <c r="J78" s="10">
        <v>46.156668700000004</v>
      </c>
      <c r="K78" s="10">
        <v>400</v>
      </c>
      <c r="L78" s="10">
        <v>250</v>
      </c>
      <c r="M78" s="10">
        <v>279.01717374000003</v>
      </c>
      <c r="N78" s="10">
        <v>199.56362365000001</v>
      </c>
      <c r="O78" s="10">
        <v>262.26127859000002</v>
      </c>
      <c r="P78" s="10">
        <v>38.09602747000001</v>
      </c>
      <c r="Q78" s="10">
        <v>17.891595690000003</v>
      </c>
      <c r="R78" s="10">
        <v>98.239263109999982</v>
      </c>
      <c r="S78" s="10" t="s">
        <v>69</v>
      </c>
      <c r="T78" s="10">
        <v>119.76511593999999</v>
      </c>
      <c r="U78" s="10">
        <v>85.35567648</v>
      </c>
      <c r="V78" s="10">
        <v>4125.0179174000004</v>
      </c>
      <c r="W78" s="10">
        <v>774.86191380999992</v>
      </c>
      <c r="X78" s="10">
        <v>15.634487590000003</v>
      </c>
      <c r="Y78" s="10">
        <v>4.0546999999999996E-3</v>
      </c>
      <c r="Z78" s="10">
        <v>0.49679558000000007</v>
      </c>
      <c r="AA78" s="10" t="s">
        <v>69</v>
      </c>
      <c r="AB78" s="10">
        <v>161.95692244</v>
      </c>
      <c r="AC78" s="10">
        <v>2015.3084197799997</v>
      </c>
      <c r="AD78" s="10">
        <v>3335.59700522</v>
      </c>
      <c r="AE78" s="10">
        <v>916.66889926000022</v>
      </c>
      <c r="AF78" s="10">
        <v>404.70554426999996</v>
      </c>
      <c r="AG78" s="10">
        <v>93.209015399999984</v>
      </c>
      <c r="AH78" s="10" t="s">
        <v>69</v>
      </c>
      <c r="AI78" s="10">
        <v>-89.74630656000032</v>
      </c>
    </row>
    <row r="79" spans="1:35" ht="15.75" x14ac:dyDescent="0.25">
      <c r="A79" s="13">
        <v>39722</v>
      </c>
      <c r="B79" s="10">
        <v>4343.2619040399995</v>
      </c>
      <c r="C79" s="10">
        <v>339.20684761000001</v>
      </c>
      <c r="D79" s="10">
        <v>4331.0882264700003</v>
      </c>
      <c r="E79" s="10">
        <v>3328.29845484</v>
      </c>
      <c r="F79" s="10">
        <v>64.042919530000006</v>
      </c>
      <c r="G79" s="10">
        <v>1747.1805135299999</v>
      </c>
      <c r="H79" s="10">
        <v>310.54066390000003</v>
      </c>
      <c r="I79" s="10">
        <v>181.57069415000004</v>
      </c>
      <c r="J79" s="10">
        <v>44.752767909999996</v>
      </c>
      <c r="K79" s="10">
        <v>450</v>
      </c>
      <c r="L79" s="10">
        <v>300</v>
      </c>
      <c r="M79" s="10">
        <v>286.95853954</v>
      </c>
      <c r="N79" s="10">
        <v>194.37284271000001</v>
      </c>
      <c r="O79" s="10">
        <v>211.20670012000002</v>
      </c>
      <c r="P79" s="10">
        <v>41.085063490000003</v>
      </c>
      <c r="Q79" s="10">
        <v>16.151575630000004</v>
      </c>
      <c r="R79" s="10">
        <v>292.39506022</v>
      </c>
      <c r="S79" s="10" t="s">
        <v>69</v>
      </c>
      <c r="T79" s="10">
        <v>124.58124714</v>
      </c>
      <c r="U79" s="10">
        <v>89.886026880000017</v>
      </c>
      <c r="V79" s="10">
        <v>3764.8300719499998</v>
      </c>
      <c r="W79" s="10">
        <v>835.24030294000011</v>
      </c>
      <c r="X79" s="10">
        <v>17.454159050000001</v>
      </c>
      <c r="Y79" s="10">
        <v>4.9541400000000001E-3</v>
      </c>
      <c r="Z79" s="10">
        <v>0.51538298000000005</v>
      </c>
      <c r="AA79" s="10" t="s">
        <v>69</v>
      </c>
      <c r="AB79" s="10">
        <v>165.38405832999999</v>
      </c>
      <c r="AC79" s="10">
        <v>2046.4028188700004</v>
      </c>
      <c r="AD79" s="10">
        <v>3344.8266597799998</v>
      </c>
      <c r="AE79" s="10">
        <v>933.3724143300002</v>
      </c>
      <c r="AF79" s="10">
        <v>404.70515180000001</v>
      </c>
      <c r="AG79" s="10">
        <v>93.386348190000007</v>
      </c>
      <c r="AH79" s="10" t="s">
        <v>69</v>
      </c>
      <c r="AI79" s="10">
        <v>177.53299383999996</v>
      </c>
    </row>
    <row r="80" spans="1:35" ht="15.75" x14ac:dyDescent="0.25">
      <c r="A80" s="13">
        <v>39753</v>
      </c>
      <c r="B80" s="10">
        <v>3890.8280121200005</v>
      </c>
      <c r="C80" s="10">
        <v>286.65241592999996</v>
      </c>
      <c r="D80" s="10">
        <v>4531.1411289799998</v>
      </c>
      <c r="E80" s="10">
        <v>2773.1741273000002</v>
      </c>
      <c r="F80" s="10">
        <v>55.518294560000001</v>
      </c>
      <c r="G80" s="10">
        <v>1706.9166564699997</v>
      </c>
      <c r="H80" s="10">
        <v>335.89092074999996</v>
      </c>
      <c r="I80" s="10">
        <v>185.41343861000001</v>
      </c>
      <c r="J80" s="10">
        <v>51.598316239999996</v>
      </c>
      <c r="K80" s="10">
        <v>510</v>
      </c>
      <c r="L80" s="10">
        <v>300</v>
      </c>
      <c r="M80" s="10">
        <v>289.59961993000002</v>
      </c>
      <c r="N80" s="10">
        <v>138.70967141999998</v>
      </c>
      <c r="O80" s="10">
        <v>199.86058444000003</v>
      </c>
      <c r="P80" s="10">
        <v>39.874163770000017</v>
      </c>
      <c r="Q80" s="10">
        <v>14.142229169999998</v>
      </c>
      <c r="R80" s="10">
        <v>69.982708590000016</v>
      </c>
      <c r="S80" s="10" t="s">
        <v>69</v>
      </c>
      <c r="T80" s="10">
        <v>118.95989572999999</v>
      </c>
      <c r="U80" s="10">
        <v>83.673965870000004</v>
      </c>
      <c r="V80" s="10">
        <v>2201.22439596</v>
      </c>
      <c r="W80" s="10">
        <v>768.91994850000003</v>
      </c>
      <c r="X80" s="10">
        <v>16.190298540000001</v>
      </c>
      <c r="Y80" s="10">
        <v>-1.1405817999999999</v>
      </c>
      <c r="Z80" s="10">
        <v>0.63307760999999996</v>
      </c>
      <c r="AA80" s="10" t="s">
        <v>69</v>
      </c>
      <c r="AB80" s="10">
        <v>145.25098417000001</v>
      </c>
      <c r="AC80" s="10">
        <v>2151.3817247800002</v>
      </c>
      <c r="AD80" s="10">
        <v>3457.5414575499985</v>
      </c>
      <c r="AE80" s="10">
        <v>914.66043599999989</v>
      </c>
      <c r="AF80" s="10">
        <v>400.85738545999999</v>
      </c>
      <c r="AG80" s="10">
        <v>89.434646709999967</v>
      </c>
      <c r="AH80" s="10" t="s">
        <v>69</v>
      </c>
      <c r="AI80" s="10">
        <v>-167.11771661999975</v>
      </c>
    </row>
    <row r="81" spans="1:35" ht="15.75" x14ac:dyDescent="0.25">
      <c r="A81" s="13">
        <v>39783</v>
      </c>
      <c r="B81" s="10">
        <v>4585.2057338100003</v>
      </c>
      <c r="C81" s="10">
        <v>237.68151539000004</v>
      </c>
      <c r="D81" s="10">
        <v>4708.3464733999999</v>
      </c>
      <c r="E81" s="10">
        <v>2449.2142957400001</v>
      </c>
      <c r="F81" s="10">
        <v>54.814003229999997</v>
      </c>
      <c r="G81" s="10">
        <v>1700.9383355800001</v>
      </c>
      <c r="H81" s="10">
        <v>359.17209719000004</v>
      </c>
      <c r="I81" s="10">
        <v>165.96481668000004</v>
      </c>
      <c r="J81" s="10">
        <v>53.774571939999994</v>
      </c>
      <c r="K81" s="10">
        <v>505</v>
      </c>
      <c r="L81" s="10">
        <v>100</v>
      </c>
      <c r="M81" s="10">
        <v>452.57584738999998</v>
      </c>
      <c r="N81" s="10">
        <v>343.78400260000001</v>
      </c>
      <c r="O81" s="10">
        <v>434.90915465</v>
      </c>
      <c r="P81" s="10">
        <v>68.712143520000012</v>
      </c>
      <c r="Q81" s="10">
        <v>15.355407180000004</v>
      </c>
      <c r="R81" s="10">
        <v>280.66632323000005</v>
      </c>
      <c r="S81" s="10" t="s">
        <v>69</v>
      </c>
      <c r="T81" s="10">
        <v>123.24362117999999</v>
      </c>
      <c r="U81" s="10">
        <v>76.559071349999996</v>
      </c>
      <c r="V81" s="10">
        <v>2228.2834972500004</v>
      </c>
      <c r="W81" s="10">
        <v>670.86047398000005</v>
      </c>
      <c r="X81" s="10">
        <v>14.470292890000003</v>
      </c>
      <c r="Y81" s="10">
        <v>9.7928500000000022E-3</v>
      </c>
      <c r="Z81" s="10">
        <v>0.53294324999999998</v>
      </c>
      <c r="AA81" s="10" t="s">
        <v>69</v>
      </c>
      <c r="AB81" s="10">
        <v>129.27746825000003</v>
      </c>
      <c r="AC81" s="10">
        <v>2043.20498101</v>
      </c>
      <c r="AD81" s="10">
        <v>3422.9455508100004</v>
      </c>
      <c r="AE81" s="10">
        <v>1075.0174433400002</v>
      </c>
      <c r="AF81" s="10">
        <v>415.0866150899999</v>
      </c>
      <c r="AG81" s="10">
        <v>92.732591450000015</v>
      </c>
      <c r="AH81" s="10" t="s">
        <v>69</v>
      </c>
      <c r="AI81" s="10">
        <v>-2.5801259500001761</v>
      </c>
    </row>
    <row r="82" spans="1:35" ht="15.75" x14ac:dyDescent="0.25">
      <c r="A82" s="13">
        <v>39814</v>
      </c>
      <c r="B82" s="10">
        <v>3764.5829657200002</v>
      </c>
      <c r="C82" s="10">
        <v>185.50806577000003</v>
      </c>
      <c r="D82" s="10">
        <v>5172.3355830299997</v>
      </c>
      <c r="E82" s="10">
        <v>2083.8637986200001</v>
      </c>
      <c r="F82" s="10">
        <v>59.559291259999995</v>
      </c>
      <c r="G82" s="10">
        <v>1694.72541159</v>
      </c>
      <c r="H82" s="10">
        <v>353.13506455999999</v>
      </c>
      <c r="I82" s="10">
        <v>200.94856110999999</v>
      </c>
      <c r="J82" s="10">
        <v>51.573395649999995</v>
      </c>
      <c r="K82" s="10">
        <v>550</v>
      </c>
      <c r="L82" s="10">
        <v>100</v>
      </c>
      <c r="M82" s="10">
        <v>268.32349628000003</v>
      </c>
      <c r="N82" s="10">
        <v>148.94998199</v>
      </c>
      <c r="O82" s="10">
        <v>105.34885165000001</v>
      </c>
      <c r="P82" s="10">
        <v>21.279713229999999</v>
      </c>
      <c r="Q82" s="10">
        <v>16.255568529999998</v>
      </c>
      <c r="R82" s="10">
        <v>62.273080879999995</v>
      </c>
      <c r="S82" s="10" t="s">
        <v>69</v>
      </c>
      <c r="T82" s="10">
        <v>117.29559868999999</v>
      </c>
      <c r="U82" s="10">
        <v>86.589042969999994</v>
      </c>
      <c r="V82" s="10">
        <v>2357.0616918500004</v>
      </c>
      <c r="W82" s="10">
        <v>599.23862943999995</v>
      </c>
      <c r="X82" s="10">
        <v>13.248888700000002</v>
      </c>
      <c r="Y82" s="10">
        <v>8.6209400000000005E-3</v>
      </c>
      <c r="Z82" s="10">
        <v>0.46657208000000006</v>
      </c>
      <c r="AA82" s="10">
        <v>93.883876309999948</v>
      </c>
      <c r="AB82" s="10">
        <v>9.0608462100000615</v>
      </c>
      <c r="AC82" s="10">
        <v>2808.6682818499994</v>
      </c>
      <c r="AD82" s="10">
        <v>4496.3754418500002</v>
      </c>
      <c r="AE82" s="10">
        <v>1506.1470859499996</v>
      </c>
      <c r="AF82" s="10">
        <v>568.99764980999987</v>
      </c>
      <c r="AG82" s="10">
        <v>89.764442029999998</v>
      </c>
      <c r="AH82" s="10" t="s">
        <v>69</v>
      </c>
      <c r="AI82" s="10">
        <v>56.523369379999806</v>
      </c>
    </row>
    <row r="83" spans="1:35" ht="15.75" x14ac:dyDescent="0.25">
      <c r="A83" s="13">
        <v>39845</v>
      </c>
      <c r="B83" s="10">
        <v>3595.07452328</v>
      </c>
      <c r="C83" s="10">
        <v>159.47725604999999</v>
      </c>
      <c r="D83" s="10">
        <v>4920.4390833100006</v>
      </c>
      <c r="E83" s="10">
        <v>1934.67435447</v>
      </c>
      <c r="F83" s="10">
        <v>158.01364231000002</v>
      </c>
      <c r="G83" s="10">
        <v>1519.12856379</v>
      </c>
      <c r="H83" s="10">
        <v>368.07916421000004</v>
      </c>
      <c r="I83" s="10">
        <v>198.76642700999997</v>
      </c>
      <c r="J83" s="10">
        <v>55.611166840000003</v>
      </c>
      <c r="K83" s="10">
        <v>110</v>
      </c>
      <c r="L83" s="10">
        <v>0</v>
      </c>
      <c r="M83" s="10">
        <v>432.79009302999998</v>
      </c>
      <c r="N83" s="10">
        <v>244.54472139999999</v>
      </c>
      <c r="O83" s="10">
        <v>278.33147700999996</v>
      </c>
      <c r="P83" s="10">
        <v>45.084104109999998</v>
      </c>
      <c r="Q83" s="10">
        <v>13.78617041</v>
      </c>
      <c r="R83" s="10">
        <v>261.73015114000003</v>
      </c>
      <c r="S83" s="10" t="s">
        <v>69</v>
      </c>
      <c r="T83" s="10">
        <v>116.40437095000001</v>
      </c>
      <c r="U83" s="10">
        <v>73.175127599999996</v>
      </c>
      <c r="V83" s="10">
        <v>2374.5806283700003</v>
      </c>
      <c r="W83" s="10">
        <v>487.04496320999988</v>
      </c>
      <c r="X83" s="10">
        <v>10.605811210000002</v>
      </c>
      <c r="Y83" s="10">
        <v>3.8100699999999996E-3</v>
      </c>
      <c r="Z83" s="10">
        <v>0.42397665000000007</v>
      </c>
      <c r="AA83" s="10">
        <v>91.298080780000006</v>
      </c>
      <c r="AB83" s="10">
        <v>6.7225743400000031</v>
      </c>
      <c r="AC83" s="10">
        <v>2166.9336077399998</v>
      </c>
      <c r="AD83" s="10">
        <v>3623.9247008399993</v>
      </c>
      <c r="AE83" s="10">
        <v>1118.13983022</v>
      </c>
      <c r="AF83" s="10">
        <v>429.55596101999998</v>
      </c>
      <c r="AG83" s="10">
        <v>100.39159649000001</v>
      </c>
      <c r="AH83" s="10" t="s">
        <v>69</v>
      </c>
      <c r="AI83" s="10">
        <v>-56.624822000000158</v>
      </c>
    </row>
    <row r="84" spans="1:35" ht="15.75" x14ac:dyDescent="0.25">
      <c r="A84" s="13">
        <v>39873</v>
      </c>
      <c r="B84" s="10">
        <v>3203.8055837599995</v>
      </c>
      <c r="C84" s="10">
        <v>170.81825078</v>
      </c>
      <c r="D84" s="10">
        <v>4692.3977982699998</v>
      </c>
      <c r="E84" s="10">
        <v>2125.67558672</v>
      </c>
      <c r="F84" s="10">
        <v>172.97740249</v>
      </c>
      <c r="G84" s="10">
        <v>1431.6294648799999</v>
      </c>
      <c r="H84" s="10">
        <v>326.81898548999993</v>
      </c>
      <c r="I84" s="10">
        <v>171.06028337000001</v>
      </c>
      <c r="J84" s="10">
        <v>49.382312549999995</v>
      </c>
      <c r="K84" s="10">
        <v>125</v>
      </c>
      <c r="L84" s="10">
        <v>0</v>
      </c>
      <c r="M84" s="10">
        <v>330.79520143999997</v>
      </c>
      <c r="N84" s="10">
        <v>175.54362230000001</v>
      </c>
      <c r="O84" s="10">
        <v>244.90200208999997</v>
      </c>
      <c r="P84" s="10">
        <v>37.054332760000008</v>
      </c>
      <c r="Q84" s="10">
        <v>13.882635050000001</v>
      </c>
      <c r="R84" s="10">
        <v>65.547486379999981</v>
      </c>
      <c r="S84" s="10" t="s">
        <v>69</v>
      </c>
      <c r="T84" s="10">
        <v>126.78422498</v>
      </c>
      <c r="U84" s="10">
        <v>70.590549230000008</v>
      </c>
      <c r="V84" s="10">
        <v>2159.18446202</v>
      </c>
      <c r="W84" s="10">
        <v>570.04996607999999</v>
      </c>
      <c r="X84" s="10">
        <v>12.744317150000001</v>
      </c>
      <c r="Y84" s="10">
        <v>4.2418600000000001E-3</v>
      </c>
      <c r="Z84" s="10">
        <v>0.50065183000000002</v>
      </c>
      <c r="AA84" s="10">
        <v>95.976842310000009</v>
      </c>
      <c r="AB84" s="10">
        <v>13.220533940000001</v>
      </c>
      <c r="AC84" s="10">
        <v>2083.8210363000003</v>
      </c>
      <c r="AD84" s="10">
        <v>3514.2495779299988</v>
      </c>
      <c r="AE84" s="10">
        <v>1120.7684809499997</v>
      </c>
      <c r="AF84" s="10">
        <v>429.13396918000012</v>
      </c>
      <c r="AG84" s="10">
        <v>105.55561909000001</v>
      </c>
      <c r="AH84" s="10" t="s">
        <v>69</v>
      </c>
      <c r="AI84" s="10">
        <v>204.25697343000007</v>
      </c>
    </row>
    <row r="85" spans="1:35" ht="15.75" x14ac:dyDescent="0.25">
      <c r="A85" s="13">
        <v>39904</v>
      </c>
      <c r="B85" s="10">
        <v>2940.9557602899999</v>
      </c>
      <c r="C85" s="10">
        <v>172.32987486000002</v>
      </c>
      <c r="D85" s="10">
        <v>4884.1184125500004</v>
      </c>
      <c r="E85" s="10">
        <v>2154.0056848200002</v>
      </c>
      <c r="F85" s="10">
        <v>148.61483388000002</v>
      </c>
      <c r="G85" s="10">
        <v>1668.1214744700001</v>
      </c>
      <c r="H85" s="10">
        <v>309.82114446999992</v>
      </c>
      <c r="I85" s="10">
        <v>170.76078279000006</v>
      </c>
      <c r="J85" s="10">
        <v>51.62396657</v>
      </c>
      <c r="K85" s="10">
        <v>100</v>
      </c>
      <c r="L85" s="10">
        <v>100</v>
      </c>
      <c r="M85" s="10">
        <v>328.55821752999998</v>
      </c>
      <c r="N85" s="10">
        <v>209.58009865</v>
      </c>
      <c r="O85" s="10">
        <v>310.0892399</v>
      </c>
      <c r="P85" s="10">
        <v>43.696635229999998</v>
      </c>
      <c r="Q85" s="10">
        <v>13.913282890000001</v>
      </c>
      <c r="R85" s="10">
        <v>147.25344147999999</v>
      </c>
      <c r="S85" s="10" t="s">
        <v>69</v>
      </c>
      <c r="T85" s="10">
        <v>126.09327051999998</v>
      </c>
      <c r="U85" s="10">
        <v>76.311876420000019</v>
      </c>
      <c r="V85" s="10">
        <v>3018.8657010200004</v>
      </c>
      <c r="W85" s="10">
        <v>589.2666694799999</v>
      </c>
      <c r="X85" s="10">
        <v>13.068685349999997</v>
      </c>
      <c r="Y85" s="10">
        <v>3.7986699999999997E-3</v>
      </c>
      <c r="Z85" s="10">
        <v>0.48606781999999998</v>
      </c>
      <c r="AA85" s="10">
        <v>96.632182880000016</v>
      </c>
      <c r="AB85" s="10">
        <v>9.8816469000000016</v>
      </c>
      <c r="AC85" s="10">
        <v>2117.0010038700002</v>
      </c>
      <c r="AD85" s="10">
        <v>3604.3856782400007</v>
      </c>
      <c r="AE85" s="10">
        <v>1129.93913668</v>
      </c>
      <c r="AF85" s="10">
        <v>427.15437496999994</v>
      </c>
      <c r="AG85" s="10">
        <v>105.74327002000001</v>
      </c>
      <c r="AH85" s="10" t="s">
        <v>69</v>
      </c>
      <c r="AI85" s="10">
        <v>253.75372929999983</v>
      </c>
    </row>
    <row r="86" spans="1:35" ht="15.75" x14ac:dyDescent="0.25">
      <c r="A86" s="13">
        <v>39934</v>
      </c>
      <c r="B86" s="10">
        <v>6349.2317942600002</v>
      </c>
      <c r="C86" s="10">
        <v>169.00847955</v>
      </c>
      <c r="D86" s="10">
        <v>4986.5720032099998</v>
      </c>
      <c r="E86" s="10">
        <v>2114.4305949499999</v>
      </c>
      <c r="F86" s="10">
        <v>139.45650109000002</v>
      </c>
      <c r="G86" s="10">
        <v>1717.17980016</v>
      </c>
      <c r="H86" s="10">
        <v>396.36418249999997</v>
      </c>
      <c r="I86" s="10">
        <v>181.48608768999995</v>
      </c>
      <c r="J86" s="10">
        <v>59.460631569999997</v>
      </c>
      <c r="K86" s="10">
        <v>370</v>
      </c>
      <c r="L86" s="10">
        <v>127</v>
      </c>
      <c r="M86" s="10">
        <v>337.65649052999999</v>
      </c>
      <c r="N86" s="10">
        <v>216.82475452000003</v>
      </c>
      <c r="O86" s="10">
        <v>272.4849364800001</v>
      </c>
      <c r="P86" s="10">
        <v>41.993993809999999</v>
      </c>
      <c r="Q86" s="10">
        <v>16.064739369999998</v>
      </c>
      <c r="R86" s="10">
        <v>1229.0339459000002</v>
      </c>
      <c r="S86" s="10" t="s">
        <v>69</v>
      </c>
      <c r="T86" s="10">
        <v>122.16296553000002</v>
      </c>
      <c r="U86" s="10">
        <v>82.638249850000008</v>
      </c>
      <c r="V86" s="10">
        <v>2907.1898280700002</v>
      </c>
      <c r="W86" s="10">
        <v>539.95326867999995</v>
      </c>
      <c r="X86" s="10">
        <v>12.19565717</v>
      </c>
      <c r="Y86" s="10">
        <v>2.1748399999999995E-3</v>
      </c>
      <c r="Z86" s="10">
        <v>0.33766834999999995</v>
      </c>
      <c r="AA86" s="10">
        <v>91.125928859999988</v>
      </c>
      <c r="AB86" s="10">
        <v>9.6698379899999996</v>
      </c>
      <c r="AC86" s="10">
        <v>2043.8815591700002</v>
      </c>
      <c r="AD86" s="10">
        <v>3717.5346884599994</v>
      </c>
      <c r="AE86" s="10">
        <v>1155.7020931999998</v>
      </c>
      <c r="AF86" s="10">
        <v>434.97730460999998</v>
      </c>
      <c r="AG86" s="10">
        <v>103.77349830999999</v>
      </c>
      <c r="AH86" s="10" t="s">
        <v>69</v>
      </c>
      <c r="AI86" s="10">
        <v>200.66934779999977</v>
      </c>
    </row>
    <row r="87" spans="1:35" ht="15.75" x14ac:dyDescent="0.25">
      <c r="A87" s="13">
        <v>39965</v>
      </c>
      <c r="B87" s="10">
        <v>6065.4552704999987</v>
      </c>
      <c r="C87" s="10">
        <v>209.43169090000004</v>
      </c>
      <c r="D87" s="10">
        <v>5060.0522534399997</v>
      </c>
      <c r="E87" s="10">
        <v>2690.0753241299999</v>
      </c>
      <c r="F87" s="10">
        <v>87.13381785</v>
      </c>
      <c r="G87" s="10">
        <v>1708.01718781</v>
      </c>
      <c r="H87" s="10">
        <v>322.62320170000004</v>
      </c>
      <c r="I87" s="10">
        <v>150.54987069000001</v>
      </c>
      <c r="J87" s="10">
        <v>47.408743350000002</v>
      </c>
      <c r="K87" s="10">
        <v>503</v>
      </c>
      <c r="L87" s="10">
        <v>100</v>
      </c>
      <c r="M87" s="10">
        <v>345.14976708000006</v>
      </c>
      <c r="N87" s="10">
        <v>206.60108759000002</v>
      </c>
      <c r="O87" s="10">
        <v>262.84964353000004</v>
      </c>
      <c r="P87" s="10">
        <v>41.269666739999991</v>
      </c>
      <c r="Q87" s="10">
        <v>14.608197789999998</v>
      </c>
      <c r="R87" s="10">
        <v>496.69589361000004</v>
      </c>
      <c r="S87" s="10" t="s">
        <v>69</v>
      </c>
      <c r="T87" s="10">
        <v>133.9443516</v>
      </c>
      <c r="U87" s="10">
        <v>95.131094629999978</v>
      </c>
      <c r="V87" s="10">
        <v>3125.6231159100003</v>
      </c>
      <c r="W87" s="10">
        <v>613.0832187000002</v>
      </c>
      <c r="X87" s="10">
        <v>13.865937010000001</v>
      </c>
      <c r="Y87" s="10">
        <v>4.3203699999999996E-3</v>
      </c>
      <c r="Z87" s="10">
        <v>0.43122022000000004</v>
      </c>
      <c r="AA87" s="10">
        <v>113.14312886999998</v>
      </c>
      <c r="AB87" s="10">
        <v>10.29614913</v>
      </c>
      <c r="AC87" s="10">
        <v>2217.6033970599997</v>
      </c>
      <c r="AD87" s="10">
        <v>3639.7194116199998</v>
      </c>
      <c r="AE87" s="10">
        <v>1184.5696372899999</v>
      </c>
      <c r="AF87" s="10">
        <v>438.69520915999999</v>
      </c>
      <c r="AG87" s="10">
        <v>108.09742752999998</v>
      </c>
      <c r="AH87" s="10" t="s">
        <v>69</v>
      </c>
      <c r="AI87" s="10">
        <v>-101.23811186999976</v>
      </c>
    </row>
    <row r="88" spans="1:35" ht="15.75" x14ac:dyDescent="0.25">
      <c r="A88" s="13">
        <v>39995</v>
      </c>
      <c r="B88" s="10">
        <v>4194.6690115000001</v>
      </c>
      <c r="C88" s="10">
        <v>229.72369926000002</v>
      </c>
      <c r="D88" s="10">
        <v>5283.2584726299992</v>
      </c>
      <c r="E88" s="10">
        <v>2862.5353714400003</v>
      </c>
      <c r="F88" s="10">
        <v>68.579948959999996</v>
      </c>
      <c r="G88" s="10">
        <v>1779.1761439799998</v>
      </c>
      <c r="H88" s="10">
        <v>332.7983638</v>
      </c>
      <c r="I88" s="10">
        <v>163.79980775000001</v>
      </c>
      <c r="J88" s="10">
        <v>49.319014319999994</v>
      </c>
      <c r="K88" s="10">
        <v>346</v>
      </c>
      <c r="L88" s="10">
        <v>300</v>
      </c>
      <c r="M88" s="10">
        <v>350.32214850999998</v>
      </c>
      <c r="N88" s="10">
        <v>197.73422530000002</v>
      </c>
      <c r="O88" s="10">
        <v>271.33942769999993</v>
      </c>
      <c r="P88" s="10">
        <v>43.064312530000002</v>
      </c>
      <c r="Q88" s="10">
        <v>14.214124350000001</v>
      </c>
      <c r="R88" s="10">
        <v>275.42355257999998</v>
      </c>
      <c r="S88" s="10" t="s">
        <v>69</v>
      </c>
      <c r="T88" s="10">
        <v>131.37884474999998</v>
      </c>
      <c r="U88" s="10">
        <v>111.55099749999999</v>
      </c>
      <c r="V88" s="10">
        <v>2664.5107218700005</v>
      </c>
      <c r="W88" s="10">
        <v>641.80724334000001</v>
      </c>
      <c r="X88" s="10">
        <v>15.423946679999997</v>
      </c>
      <c r="Y88" s="10">
        <v>2.106912E-2</v>
      </c>
      <c r="Z88" s="10">
        <v>0.37558139000000001</v>
      </c>
      <c r="AA88" s="10">
        <v>118.96656965</v>
      </c>
      <c r="AB88" s="10">
        <v>11.146148620000004</v>
      </c>
      <c r="AC88" s="10">
        <v>3031.1092478099995</v>
      </c>
      <c r="AD88" s="10">
        <v>4825.4711434499986</v>
      </c>
      <c r="AE88" s="10">
        <v>1660.0895311300005</v>
      </c>
      <c r="AF88" s="10">
        <v>599.4020671699999</v>
      </c>
      <c r="AG88" s="10">
        <v>110.23202878000001</v>
      </c>
      <c r="AH88" s="10" t="s">
        <v>69</v>
      </c>
      <c r="AI88" s="10">
        <v>256.18524721000023</v>
      </c>
    </row>
    <row r="89" spans="1:35" ht="15.75" x14ac:dyDescent="0.25">
      <c r="A89" s="13">
        <v>40026</v>
      </c>
      <c r="B89" s="10">
        <v>4470.3393869800002</v>
      </c>
      <c r="C89" s="10">
        <v>195.95033523999999</v>
      </c>
      <c r="D89" s="10">
        <v>5221.03492792</v>
      </c>
      <c r="E89" s="10">
        <v>2569.1139448999998</v>
      </c>
      <c r="F89" s="10">
        <v>69.713708179999998</v>
      </c>
      <c r="G89" s="10">
        <v>1692.1642019800001</v>
      </c>
      <c r="H89" s="10">
        <v>367.15263866000004</v>
      </c>
      <c r="I89" s="10">
        <v>206.64967339</v>
      </c>
      <c r="J89" s="10">
        <v>56.070712620000009</v>
      </c>
      <c r="K89" s="10">
        <v>273</v>
      </c>
      <c r="L89" s="10">
        <v>200</v>
      </c>
      <c r="M89" s="10">
        <v>347.3976495</v>
      </c>
      <c r="N89" s="10">
        <v>182.82941872999996</v>
      </c>
      <c r="O89" s="10">
        <v>264.14583984000001</v>
      </c>
      <c r="P89" s="10">
        <v>44.765394380000004</v>
      </c>
      <c r="Q89" s="10">
        <v>16.030819840000003</v>
      </c>
      <c r="R89" s="10">
        <v>375.27188042</v>
      </c>
      <c r="S89" s="10" t="s">
        <v>69</v>
      </c>
      <c r="T89" s="10">
        <v>129.13203701999998</v>
      </c>
      <c r="U89" s="10">
        <v>118.43425586000002</v>
      </c>
      <c r="V89" s="10">
        <v>2259.2194326899998</v>
      </c>
      <c r="W89" s="10">
        <v>587.94496148000007</v>
      </c>
      <c r="X89" s="10">
        <v>14.238574869999997</v>
      </c>
      <c r="Y89" s="10">
        <v>1.3114209999999999E-2</v>
      </c>
      <c r="Z89" s="10">
        <v>0.55130703000000003</v>
      </c>
      <c r="AA89" s="10">
        <v>113.11224463000001</v>
      </c>
      <c r="AB89" s="10">
        <v>9.1934998300000004</v>
      </c>
      <c r="AC89" s="10">
        <v>2394.5628126099996</v>
      </c>
      <c r="AD89" s="10">
        <v>3970.2413029299992</v>
      </c>
      <c r="AE89" s="10">
        <v>1227.1991715199999</v>
      </c>
      <c r="AF89" s="10">
        <v>457.72488365000004</v>
      </c>
      <c r="AG89" s="10">
        <v>108.16022383000002</v>
      </c>
      <c r="AH89" s="10" t="s">
        <v>69</v>
      </c>
      <c r="AI89" s="10">
        <v>32.545619469999522</v>
      </c>
    </row>
    <row r="90" spans="1:35" ht="15.75" x14ac:dyDescent="0.25">
      <c r="A90" s="13">
        <v>40057</v>
      </c>
      <c r="B90" s="10">
        <v>4036.6732719500001</v>
      </c>
      <c r="C90" s="10">
        <v>228.18464793000001</v>
      </c>
      <c r="D90" s="10">
        <v>5280.2139678800004</v>
      </c>
      <c r="E90" s="10">
        <v>2923.3217827999997</v>
      </c>
      <c r="F90" s="10">
        <v>70.083817530000005</v>
      </c>
      <c r="G90" s="10">
        <v>1802.4862921699998</v>
      </c>
      <c r="H90" s="10">
        <v>369.25333383999998</v>
      </c>
      <c r="I90" s="10">
        <v>211.08891253999997</v>
      </c>
      <c r="J90" s="10">
        <v>56.376150149999994</v>
      </c>
      <c r="K90" s="10">
        <v>281</v>
      </c>
      <c r="L90" s="10">
        <v>404</v>
      </c>
      <c r="M90" s="10">
        <v>414.11006217000005</v>
      </c>
      <c r="N90" s="10">
        <v>242.40646975000001</v>
      </c>
      <c r="O90" s="10">
        <v>302.18034031999997</v>
      </c>
      <c r="P90" s="10">
        <v>46.3837361</v>
      </c>
      <c r="Q90" s="10">
        <v>15.333317939999999</v>
      </c>
      <c r="R90" s="10">
        <v>181.46524659000002</v>
      </c>
      <c r="S90" s="10" t="s">
        <v>69</v>
      </c>
      <c r="T90" s="10">
        <v>133.75861028999995</v>
      </c>
      <c r="U90" s="10">
        <v>182.07096589999998</v>
      </c>
      <c r="V90" s="10">
        <v>2380.6989526299999</v>
      </c>
      <c r="W90" s="10">
        <v>757.03630440000006</v>
      </c>
      <c r="X90" s="10">
        <v>17.689318480000001</v>
      </c>
      <c r="Y90" s="10">
        <v>4.43919E-3</v>
      </c>
      <c r="Z90" s="10">
        <v>0.39921879000000005</v>
      </c>
      <c r="AA90" s="10">
        <v>130.10140412999999</v>
      </c>
      <c r="AB90" s="10">
        <v>10.90067283</v>
      </c>
      <c r="AC90" s="10">
        <v>2402.1742642800009</v>
      </c>
      <c r="AD90" s="10">
        <v>4117.8742544300003</v>
      </c>
      <c r="AE90" s="10">
        <v>1264.72167567</v>
      </c>
      <c r="AF90" s="10">
        <v>455.48519139000001</v>
      </c>
      <c r="AG90" s="10">
        <v>113.54510587000001</v>
      </c>
      <c r="AH90" s="10" t="s">
        <v>69</v>
      </c>
      <c r="AI90" s="10">
        <v>755.96196771000029</v>
      </c>
    </row>
    <row r="91" spans="1:35" ht="15.75" x14ac:dyDescent="0.25">
      <c r="A91" s="13">
        <v>40087</v>
      </c>
      <c r="B91" s="10">
        <v>4683.5319165000001</v>
      </c>
      <c r="C91" s="10">
        <v>218.58963175999997</v>
      </c>
      <c r="D91" s="10">
        <v>5255.1940634100001</v>
      </c>
      <c r="E91" s="10">
        <v>2778.3840113000001</v>
      </c>
      <c r="F91" s="10">
        <v>79.994970690000002</v>
      </c>
      <c r="G91" s="10">
        <v>1769.4582807699999</v>
      </c>
      <c r="H91" s="10">
        <v>356.30947782999988</v>
      </c>
      <c r="I91" s="10">
        <v>199.98890771000003</v>
      </c>
      <c r="J91" s="10">
        <v>56.882575159999988</v>
      </c>
      <c r="K91" s="10">
        <v>350</v>
      </c>
      <c r="L91" s="10">
        <v>340</v>
      </c>
      <c r="M91" s="10">
        <v>426.99355969999999</v>
      </c>
      <c r="N91" s="10">
        <v>259.4639942</v>
      </c>
      <c r="O91" s="10">
        <v>306.17728373999995</v>
      </c>
      <c r="P91" s="10">
        <v>46.271477259999998</v>
      </c>
      <c r="Q91" s="10">
        <v>18.675866270000004</v>
      </c>
      <c r="R91" s="10">
        <v>424.41108986000006</v>
      </c>
      <c r="S91" s="10" t="s">
        <v>69</v>
      </c>
      <c r="T91" s="10">
        <v>136.78756229999999</v>
      </c>
      <c r="U91" s="10">
        <v>578.74570312999981</v>
      </c>
      <c r="V91" s="10">
        <v>2963.5952552799999</v>
      </c>
      <c r="W91" s="10">
        <v>727.90518827000005</v>
      </c>
      <c r="X91" s="10">
        <v>16.934376489999998</v>
      </c>
      <c r="Y91" s="10">
        <v>6.3972299999999994E-3</v>
      </c>
      <c r="Z91" s="10">
        <v>0.50536285000000014</v>
      </c>
      <c r="AA91" s="10">
        <v>133.81768979999998</v>
      </c>
      <c r="AB91" s="10">
        <v>8.1094033500000009</v>
      </c>
      <c r="AC91" s="10">
        <v>2491.1395974299994</v>
      </c>
      <c r="AD91" s="10">
        <v>4062.5166054499987</v>
      </c>
      <c r="AE91" s="10">
        <v>1261.48558082</v>
      </c>
      <c r="AF91" s="10">
        <v>461.57948629999987</v>
      </c>
      <c r="AG91" s="10">
        <v>112.16552700000001</v>
      </c>
      <c r="AH91" s="10" t="s">
        <v>69</v>
      </c>
      <c r="AI91" s="10">
        <v>-755.10595079000018</v>
      </c>
    </row>
    <row r="92" spans="1:35" ht="15.75" x14ac:dyDescent="0.25">
      <c r="A92" s="13">
        <v>40118</v>
      </c>
      <c r="B92" s="10">
        <v>4754.7</v>
      </c>
      <c r="C92" s="10">
        <v>227</v>
      </c>
      <c r="D92" s="10">
        <v>5024.3999999999996</v>
      </c>
      <c r="E92" s="10">
        <v>2762.7</v>
      </c>
      <c r="F92" s="10">
        <v>83.6</v>
      </c>
      <c r="G92" s="10">
        <v>1745.4</v>
      </c>
      <c r="H92" s="10">
        <v>418.98584625000001</v>
      </c>
      <c r="I92" s="10">
        <v>230.92084288999999</v>
      </c>
      <c r="J92" s="10">
        <v>63.571234649999994</v>
      </c>
      <c r="K92" s="10">
        <v>363</v>
      </c>
      <c r="L92" s="10">
        <v>250</v>
      </c>
      <c r="M92" s="10">
        <v>472.46800657999995</v>
      </c>
      <c r="N92" s="10">
        <v>328.36308973000001</v>
      </c>
      <c r="O92" s="10">
        <v>306.9584055599999</v>
      </c>
      <c r="P92" s="10">
        <v>49.921053669999992</v>
      </c>
      <c r="Q92" s="10">
        <v>15.187748900000001</v>
      </c>
      <c r="R92" s="10">
        <v>121.9</v>
      </c>
      <c r="S92" s="10" t="s">
        <v>69</v>
      </c>
      <c r="T92" s="10">
        <v>135.09570067000001</v>
      </c>
      <c r="U92" s="10">
        <v>108.37915538999998</v>
      </c>
      <c r="V92" s="10">
        <v>2666</v>
      </c>
      <c r="W92" s="10">
        <v>697.63833051000006</v>
      </c>
      <c r="X92" s="10">
        <v>17.361134480000004</v>
      </c>
      <c r="Y92" s="10">
        <v>1.1702700000000002E-3</v>
      </c>
      <c r="Z92" s="10">
        <v>0.4412184500000001</v>
      </c>
      <c r="AA92" s="10">
        <v>129.36016157</v>
      </c>
      <c r="AB92" s="10">
        <v>10.713862949999999</v>
      </c>
      <c r="AC92" s="10">
        <v>2465.2158021700006</v>
      </c>
      <c r="AD92" s="10">
        <v>3812.9670898899994</v>
      </c>
      <c r="AE92" s="10">
        <v>1272.8765241800002</v>
      </c>
      <c r="AF92" s="10">
        <v>474.98623542000001</v>
      </c>
      <c r="AG92" s="10">
        <v>112.80488806999999</v>
      </c>
      <c r="AH92" s="10" t="s">
        <v>69</v>
      </c>
      <c r="AI92" s="10">
        <v>292.16650898999995</v>
      </c>
    </row>
    <row r="93" spans="1:35" ht="15.75" x14ac:dyDescent="0.25">
      <c r="A93" s="13">
        <v>40148</v>
      </c>
      <c r="B93" s="10">
        <v>5119.1000000000004</v>
      </c>
      <c r="C93" s="10">
        <v>208.2</v>
      </c>
      <c r="D93" s="10">
        <v>5613.7</v>
      </c>
      <c r="E93" s="10">
        <v>2724.3</v>
      </c>
      <c r="F93" s="10">
        <v>75</v>
      </c>
      <c r="G93" s="10">
        <v>2034</v>
      </c>
      <c r="H93" s="10">
        <v>401.97322182999989</v>
      </c>
      <c r="I93" s="10">
        <v>327.89837624999996</v>
      </c>
      <c r="J93" s="10">
        <v>61.105065329999995</v>
      </c>
      <c r="K93" s="10">
        <v>360</v>
      </c>
      <c r="L93" s="10">
        <v>530</v>
      </c>
      <c r="M93" s="10">
        <v>499.06345392000003</v>
      </c>
      <c r="N93" s="10">
        <v>437.34683226999999</v>
      </c>
      <c r="O93" s="10">
        <v>545.23978147999992</v>
      </c>
      <c r="P93" s="10">
        <v>76.895194829999994</v>
      </c>
      <c r="Q93" s="10">
        <v>13.78341601</v>
      </c>
      <c r="R93" s="10">
        <v>400.1</v>
      </c>
      <c r="S93" s="10" t="s">
        <v>69</v>
      </c>
      <c r="T93" s="10">
        <v>141.00722457000001</v>
      </c>
      <c r="U93" s="10">
        <v>245.22611090999999</v>
      </c>
      <c r="V93" s="10">
        <v>3165</v>
      </c>
      <c r="W93" s="10">
        <v>714.66857950999997</v>
      </c>
      <c r="X93" s="10">
        <v>16.77425882</v>
      </c>
      <c r="Y93" s="10">
        <v>7.3025400000000015E-3</v>
      </c>
      <c r="Z93" s="10">
        <v>0.54037251000000008</v>
      </c>
      <c r="AA93" s="10">
        <v>127.94954548</v>
      </c>
      <c r="AB93" s="10">
        <v>9.4123083199999993</v>
      </c>
      <c r="AC93" s="10">
        <v>2556.9130856500001</v>
      </c>
      <c r="AD93" s="10">
        <v>4112.9415257699993</v>
      </c>
      <c r="AE93" s="10">
        <v>1291.5664687600008</v>
      </c>
      <c r="AF93" s="10">
        <v>480.07819203000008</v>
      </c>
      <c r="AG93" s="10">
        <v>115.62198436000001</v>
      </c>
      <c r="AH93" s="10" t="s">
        <v>69</v>
      </c>
      <c r="AI93" s="10">
        <v>-238.09705514999999</v>
      </c>
    </row>
    <row r="94" spans="1:35" ht="15.75" x14ac:dyDescent="0.25">
      <c r="A94" s="13">
        <v>40179</v>
      </c>
      <c r="B94" s="10">
        <v>4772.6737933500008</v>
      </c>
      <c r="C94" s="10">
        <v>194.69177249000001</v>
      </c>
      <c r="D94" s="10">
        <v>6131.9676213299999</v>
      </c>
      <c r="E94" s="10">
        <v>2540.3538558600003</v>
      </c>
      <c r="F94" s="10">
        <v>164.15315163000002</v>
      </c>
      <c r="G94" s="10">
        <v>1944.8847822799999</v>
      </c>
      <c r="H94" s="10">
        <v>419.98800299000004</v>
      </c>
      <c r="I94" s="10">
        <v>323.28720051999994</v>
      </c>
      <c r="J94" s="10">
        <v>65.812035910000006</v>
      </c>
      <c r="K94" s="10">
        <v>417</v>
      </c>
      <c r="L94" s="10">
        <v>227</v>
      </c>
      <c r="M94" s="10">
        <v>335.33328556999999</v>
      </c>
      <c r="N94" s="10">
        <v>131.99349199</v>
      </c>
      <c r="O94" s="10">
        <v>128.41917344999999</v>
      </c>
      <c r="P94" s="10">
        <v>25.843469830000007</v>
      </c>
      <c r="Q94" s="10">
        <v>12.39547554</v>
      </c>
      <c r="R94" s="10">
        <v>96.557465070000006</v>
      </c>
      <c r="S94" s="10" t="s">
        <v>69</v>
      </c>
      <c r="T94" s="10">
        <v>134.03604826</v>
      </c>
      <c r="U94" s="10">
        <v>114.55025991999999</v>
      </c>
      <c r="V94" s="10">
        <v>2316.5174476299999</v>
      </c>
      <c r="W94" s="10">
        <v>685.41568727000026</v>
      </c>
      <c r="X94" s="10">
        <v>16.280035880000003</v>
      </c>
      <c r="Y94" s="10">
        <v>5.0074299999999993E-3</v>
      </c>
      <c r="Z94" s="10">
        <v>0.38047928000000003</v>
      </c>
      <c r="AA94" s="10">
        <v>120.36970164</v>
      </c>
      <c r="AB94" s="10">
        <v>7.6253043000000007</v>
      </c>
      <c r="AC94" s="10">
        <v>3500.7468580800005</v>
      </c>
      <c r="AD94" s="10">
        <v>5523.1484790600016</v>
      </c>
      <c r="AE94" s="10">
        <v>1847.5429349200001</v>
      </c>
      <c r="AF94" s="10">
        <v>729.0439439700001</v>
      </c>
      <c r="AG94" s="10">
        <v>195.19872931000003</v>
      </c>
      <c r="AH94" s="10" t="s">
        <v>69</v>
      </c>
      <c r="AI94" s="10">
        <v>-174.3674909199998</v>
      </c>
    </row>
    <row r="95" spans="1:35" ht="15.75" x14ac:dyDescent="0.25">
      <c r="A95" s="13">
        <v>40210</v>
      </c>
      <c r="B95" s="10">
        <v>4492.6247399100002</v>
      </c>
      <c r="C95" s="10">
        <v>195.85079342</v>
      </c>
      <c r="D95" s="10">
        <v>5886.1232250499997</v>
      </c>
      <c r="E95" s="10">
        <v>2553.4433874000006</v>
      </c>
      <c r="F95" s="10">
        <v>186.69732097999997</v>
      </c>
      <c r="G95" s="10">
        <v>1802.05366989</v>
      </c>
      <c r="H95" s="10">
        <v>432.66229995000003</v>
      </c>
      <c r="I95" s="10">
        <v>342.29401711000003</v>
      </c>
      <c r="J95" s="10">
        <v>66.701518919999998</v>
      </c>
      <c r="K95" s="10">
        <v>200</v>
      </c>
      <c r="L95" s="10">
        <v>200</v>
      </c>
      <c r="M95" s="10">
        <v>519.84208899999999</v>
      </c>
      <c r="N95" s="10">
        <v>310.92413772000003</v>
      </c>
      <c r="O95" s="10">
        <v>333.34280567999997</v>
      </c>
      <c r="P95" s="10">
        <v>56.344700600000003</v>
      </c>
      <c r="Q95" s="10">
        <v>13.020249380000001</v>
      </c>
      <c r="R95" s="10">
        <v>359.58798568000003</v>
      </c>
      <c r="S95" s="10" t="s">
        <v>69</v>
      </c>
      <c r="T95" s="10">
        <v>149.52811130000001</v>
      </c>
      <c r="U95" s="10">
        <v>81.452629869999996</v>
      </c>
      <c r="V95" s="10">
        <v>2718.3580267000002</v>
      </c>
      <c r="W95" s="10">
        <v>653.2192978700001</v>
      </c>
      <c r="X95" s="10">
        <v>15.161540740000003</v>
      </c>
      <c r="Y95" s="10">
        <v>1.0693470000000002E-2</v>
      </c>
      <c r="Z95" s="10">
        <v>0.40499293999999997</v>
      </c>
      <c r="AA95" s="10">
        <v>123.12176061</v>
      </c>
      <c r="AB95" s="10">
        <v>7.9016664299999997</v>
      </c>
      <c r="AC95" s="10">
        <v>2559.2218717200003</v>
      </c>
      <c r="AD95" s="10">
        <v>4363.06838548</v>
      </c>
      <c r="AE95" s="10">
        <v>1428.3283474799996</v>
      </c>
      <c r="AF95" s="10">
        <v>581.28153311999995</v>
      </c>
      <c r="AG95" s="10">
        <v>207.51628184000003</v>
      </c>
      <c r="AH95" s="10" t="s">
        <v>69</v>
      </c>
      <c r="AI95" s="10">
        <v>-265.46465782000058</v>
      </c>
    </row>
    <row r="96" spans="1:35" ht="15.75" x14ac:dyDescent="0.25">
      <c r="A96" s="13">
        <v>40238</v>
      </c>
      <c r="B96" s="10">
        <v>4061.6771320299999</v>
      </c>
      <c r="C96" s="10">
        <v>247.18078638999998</v>
      </c>
      <c r="D96" s="10">
        <v>5524.6920071900004</v>
      </c>
      <c r="E96" s="10">
        <v>3274.5689628999999</v>
      </c>
      <c r="F96" s="10">
        <v>205.99755762999996</v>
      </c>
      <c r="G96" s="10">
        <v>1819.6739125399999</v>
      </c>
      <c r="H96" s="10">
        <v>392.69400277000005</v>
      </c>
      <c r="I96" s="10">
        <v>357.29050825000002</v>
      </c>
      <c r="J96" s="10">
        <v>57.869656070000005</v>
      </c>
      <c r="K96" s="10">
        <v>225</v>
      </c>
      <c r="L96" s="10">
        <v>277</v>
      </c>
      <c r="M96" s="10">
        <v>533.16660410000009</v>
      </c>
      <c r="N96" s="10">
        <v>246.30403789000002</v>
      </c>
      <c r="O96" s="10">
        <v>317.57515432000002</v>
      </c>
      <c r="P96" s="10">
        <v>50.455245359999999</v>
      </c>
      <c r="Q96" s="10">
        <v>11.618608439999999</v>
      </c>
      <c r="R96" s="10">
        <v>110.46913660999999</v>
      </c>
      <c r="S96" s="10" t="s">
        <v>69</v>
      </c>
      <c r="T96" s="10">
        <v>158.86306514</v>
      </c>
      <c r="U96" s="10">
        <v>95.056376750000013</v>
      </c>
      <c r="V96" s="10">
        <v>3271.9775567800002</v>
      </c>
      <c r="W96" s="10">
        <v>830.92851117999987</v>
      </c>
      <c r="X96" s="10">
        <v>18.783393869999998</v>
      </c>
      <c r="Y96" s="10">
        <v>1.9454640000000002E-2</v>
      </c>
      <c r="Z96" s="10">
        <v>0.33706171000000001</v>
      </c>
      <c r="AA96" s="10">
        <v>154.83442945000002</v>
      </c>
      <c r="AB96" s="10">
        <v>13.189442750000001</v>
      </c>
      <c r="AC96" s="10">
        <v>2610.5876715699997</v>
      </c>
      <c r="AD96" s="10">
        <v>4386.8173013400001</v>
      </c>
      <c r="AE96" s="10">
        <v>1435.08062468</v>
      </c>
      <c r="AF96" s="10">
        <v>626.77118493000012</v>
      </c>
      <c r="AG96" s="10">
        <v>220.63746291000001</v>
      </c>
      <c r="AH96" s="10" t="s">
        <v>69</v>
      </c>
      <c r="AI96" s="10">
        <v>343.21014091000023</v>
      </c>
    </row>
    <row r="97" spans="1:35" ht="15.75" x14ac:dyDescent="0.25">
      <c r="A97" s="13">
        <v>40269</v>
      </c>
      <c r="B97" s="10">
        <v>4009.6542961199998</v>
      </c>
      <c r="C97" s="10">
        <v>230.66076647000003</v>
      </c>
      <c r="D97" s="10">
        <v>6072.9869860200006</v>
      </c>
      <c r="E97" s="10">
        <v>3029.4847115299999</v>
      </c>
      <c r="F97" s="10">
        <v>163.64833183000002</v>
      </c>
      <c r="G97" s="10">
        <v>2074.5296737999997</v>
      </c>
      <c r="H97" s="10">
        <v>397.36322108000007</v>
      </c>
      <c r="I97" s="10">
        <v>390.64745244</v>
      </c>
      <c r="J97" s="10">
        <v>61.985511130000013</v>
      </c>
      <c r="K97" s="10">
        <v>267</v>
      </c>
      <c r="L97" s="10">
        <v>237</v>
      </c>
      <c r="M97" s="10">
        <v>465.85605190000001</v>
      </c>
      <c r="N97" s="10">
        <v>235.47930958999996</v>
      </c>
      <c r="O97" s="10">
        <v>414.30656903000005</v>
      </c>
      <c r="P97" s="10">
        <v>50.396446560000001</v>
      </c>
      <c r="Q97" s="10">
        <v>12.82791387</v>
      </c>
      <c r="R97" s="10">
        <v>244.87161115000004</v>
      </c>
      <c r="S97" s="10" t="s">
        <v>69</v>
      </c>
      <c r="T97" s="10">
        <v>158.72501484000003</v>
      </c>
      <c r="U97" s="10">
        <v>98.039270079999994</v>
      </c>
      <c r="V97" s="10">
        <v>3918.6170566200003</v>
      </c>
      <c r="W97" s="10">
        <v>798.05057901999999</v>
      </c>
      <c r="X97" s="10">
        <v>17.726084460000003</v>
      </c>
      <c r="Y97" s="10">
        <v>1.1884199999999999E-3</v>
      </c>
      <c r="Z97" s="10">
        <v>0.99907614999999994</v>
      </c>
      <c r="AA97" s="10">
        <v>147.06128649999999</v>
      </c>
      <c r="AB97" s="10">
        <v>15.406881529999998</v>
      </c>
      <c r="AC97" s="10">
        <v>2771.9942817699998</v>
      </c>
      <c r="AD97" s="10">
        <v>4583.1480522100001</v>
      </c>
      <c r="AE97" s="10">
        <v>1467.4743122899997</v>
      </c>
      <c r="AF97" s="10">
        <v>637.97255455000004</v>
      </c>
      <c r="AG97" s="10">
        <v>215.50666805999992</v>
      </c>
      <c r="AH97" s="10" t="s">
        <v>69</v>
      </c>
      <c r="AI97" s="10">
        <v>288.81899020999947</v>
      </c>
    </row>
    <row r="98" spans="1:35" ht="15.75" x14ac:dyDescent="0.25">
      <c r="A98" s="13">
        <v>40299</v>
      </c>
      <c r="B98" s="10">
        <v>11211.95496406</v>
      </c>
      <c r="C98" s="10">
        <v>262.89000976</v>
      </c>
      <c r="D98" s="10">
        <v>5761.5146496899997</v>
      </c>
      <c r="E98" s="10">
        <v>3511.7215885300002</v>
      </c>
      <c r="F98" s="10">
        <v>134.48413789</v>
      </c>
      <c r="G98" s="10">
        <v>2236.3483673199999</v>
      </c>
      <c r="H98" s="10">
        <v>406.51440840999999</v>
      </c>
      <c r="I98" s="10">
        <v>374.95799575999996</v>
      </c>
      <c r="J98" s="10">
        <v>66.1185914</v>
      </c>
      <c r="K98" s="10">
        <v>320</v>
      </c>
      <c r="L98" s="10">
        <v>270</v>
      </c>
      <c r="M98" s="10">
        <v>590.09718528999997</v>
      </c>
      <c r="N98" s="10">
        <v>384.69776201000002</v>
      </c>
      <c r="O98" s="10">
        <v>374.85769129000005</v>
      </c>
      <c r="P98" s="10">
        <v>50.005212400000005</v>
      </c>
      <c r="Q98" s="10">
        <v>13.635889429999997</v>
      </c>
      <c r="R98" s="10">
        <v>1560.6296604500001</v>
      </c>
      <c r="S98" s="10" t="s">
        <v>69</v>
      </c>
      <c r="T98" s="10">
        <v>155.06364472000001</v>
      </c>
      <c r="U98" s="10">
        <v>104.96678494000001</v>
      </c>
      <c r="V98" s="10">
        <v>4272.7620388900004</v>
      </c>
      <c r="W98" s="10">
        <v>774.96970366000005</v>
      </c>
      <c r="X98" s="10">
        <v>17.626867320000002</v>
      </c>
      <c r="Y98" s="10">
        <v>9.6784200000000001E-3</v>
      </c>
      <c r="Z98" s="10">
        <v>0.8681679499999998</v>
      </c>
      <c r="AA98" s="10">
        <v>160.62573247000003</v>
      </c>
      <c r="AB98" s="10">
        <v>11.078261489999997</v>
      </c>
      <c r="AC98" s="10">
        <v>2896.0932779699997</v>
      </c>
      <c r="AD98" s="10">
        <v>4694.3596634500009</v>
      </c>
      <c r="AE98" s="10">
        <v>1440.5095202699999</v>
      </c>
      <c r="AF98" s="10">
        <v>640.58948159999989</v>
      </c>
      <c r="AG98" s="10">
        <v>212.16193397000001</v>
      </c>
      <c r="AH98" s="10" t="s">
        <v>69</v>
      </c>
      <c r="AI98" s="10">
        <v>83.716320029999906</v>
      </c>
    </row>
    <row r="99" spans="1:35" ht="15.75" x14ac:dyDescent="0.25">
      <c r="A99" s="13">
        <v>40330</v>
      </c>
      <c r="B99" s="10">
        <v>8878.5773655399989</v>
      </c>
      <c r="C99" s="10">
        <v>291.40420463999999</v>
      </c>
      <c r="D99" s="10">
        <v>6212.5353620999995</v>
      </c>
      <c r="E99" s="10">
        <v>3940.4799902100003</v>
      </c>
      <c r="F99" s="10">
        <v>103.61488044000001</v>
      </c>
      <c r="G99" s="10">
        <v>2189.29256768</v>
      </c>
      <c r="H99" s="10">
        <v>408.95389572000005</v>
      </c>
      <c r="I99" s="10">
        <v>388.92557932000005</v>
      </c>
      <c r="J99" s="10">
        <v>59.131519819999994</v>
      </c>
      <c r="K99" s="10">
        <v>215</v>
      </c>
      <c r="L99" s="10">
        <v>200</v>
      </c>
      <c r="M99" s="10">
        <v>501.23743546000003</v>
      </c>
      <c r="N99" s="10">
        <v>288.04876668000003</v>
      </c>
      <c r="O99" s="10">
        <v>350.30856260000007</v>
      </c>
      <c r="P99" s="10">
        <v>56.493306269999998</v>
      </c>
      <c r="Q99" s="10">
        <v>14.32078177</v>
      </c>
      <c r="R99" s="10">
        <v>636.09377788999996</v>
      </c>
      <c r="S99" s="10" t="s">
        <v>69</v>
      </c>
      <c r="T99" s="10">
        <v>178.64466211000001</v>
      </c>
      <c r="U99" s="10">
        <v>111.93853691999999</v>
      </c>
      <c r="V99" s="10">
        <v>4225.2756534099999</v>
      </c>
      <c r="W99" s="10">
        <v>925.89034172000004</v>
      </c>
      <c r="X99" s="10">
        <v>20.253033779999999</v>
      </c>
      <c r="Y99" s="10">
        <v>-3.08428E-3</v>
      </c>
      <c r="Z99" s="10">
        <v>0.66065781000000012</v>
      </c>
      <c r="AA99" s="10">
        <v>170.30395577999997</v>
      </c>
      <c r="AB99" s="10">
        <v>13.904238379999999</v>
      </c>
      <c r="AC99" s="10">
        <v>2968.9216746599996</v>
      </c>
      <c r="AD99" s="10">
        <v>4771.9871431300007</v>
      </c>
      <c r="AE99" s="10">
        <v>1476.6998621100001</v>
      </c>
      <c r="AF99" s="10">
        <v>677.97857907999992</v>
      </c>
      <c r="AG99" s="10">
        <v>223.11978366999998</v>
      </c>
      <c r="AH99" s="10" t="s">
        <v>69</v>
      </c>
      <c r="AI99" s="10">
        <v>187.30681059000003</v>
      </c>
    </row>
    <row r="100" spans="1:35" ht="15.75" x14ac:dyDescent="0.25">
      <c r="A100" s="13">
        <v>40360</v>
      </c>
      <c r="B100" s="10">
        <v>5897.9952389400005</v>
      </c>
      <c r="C100" s="10">
        <v>354.24759088000002</v>
      </c>
      <c r="D100" s="10">
        <v>6393.2964902599997</v>
      </c>
      <c r="E100" s="10">
        <v>4087.4711490500003</v>
      </c>
      <c r="F100" s="10">
        <v>115.95410765</v>
      </c>
      <c r="G100" s="10">
        <v>2436.3146848000001</v>
      </c>
      <c r="H100" s="10">
        <v>387.88172520000006</v>
      </c>
      <c r="I100" s="10">
        <v>360.47017642999998</v>
      </c>
      <c r="J100" s="10">
        <v>60.22689007000001</v>
      </c>
      <c r="K100" s="10">
        <v>325</v>
      </c>
      <c r="L100" s="10">
        <v>300</v>
      </c>
      <c r="M100" s="10">
        <v>499.71626249000002</v>
      </c>
      <c r="N100" s="10">
        <v>227.82089612999999</v>
      </c>
      <c r="O100" s="10">
        <v>324.50125539000004</v>
      </c>
      <c r="P100" s="10">
        <v>48.548474190000007</v>
      </c>
      <c r="Q100" s="10">
        <v>14.516383360000003</v>
      </c>
      <c r="R100" s="10">
        <v>334.81801724000002</v>
      </c>
      <c r="S100" s="10" t="s">
        <v>69</v>
      </c>
      <c r="T100" s="10">
        <v>181.37595837999993</v>
      </c>
      <c r="U100" s="10">
        <v>117.23492046000001</v>
      </c>
      <c r="V100" s="10">
        <v>4481.1012849700001</v>
      </c>
      <c r="W100" s="10">
        <v>1042.74472698</v>
      </c>
      <c r="X100" s="10">
        <v>22.271898710000009</v>
      </c>
      <c r="Y100" s="10">
        <v>3.9461579999999989E-2</v>
      </c>
      <c r="Z100" s="10">
        <v>0.57146487999999984</v>
      </c>
      <c r="AA100" s="10">
        <v>191.35826163000002</v>
      </c>
      <c r="AB100" s="10">
        <v>12.881271099999999</v>
      </c>
      <c r="AC100" s="10">
        <v>4048.5702194900005</v>
      </c>
      <c r="AD100" s="10">
        <v>6381.8917076400003</v>
      </c>
      <c r="AE100" s="10">
        <v>2167.9954942499999</v>
      </c>
      <c r="AF100" s="10">
        <v>935.89986047000025</v>
      </c>
      <c r="AG100" s="10">
        <v>229.32854527999999</v>
      </c>
      <c r="AH100" s="10">
        <v>0.42036342000000004</v>
      </c>
      <c r="AI100" s="10">
        <v>26.401480359999656</v>
      </c>
    </row>
    <row r="101" spans="1:35" ht="15.75" x14ac:dyDescent="0.25">
      <c r="A101" s="13">
        <v>40391</v>
      </c>
      <c r="B101" s="10">
        <v>5662.1942452000003</v>
      </c>
      <c r="C101" s="10">
        <v>363.58280542</v>
      </c>
      <c r="D101" s="10">
        <v>6581.87863853</v>
      </c>
      <c r="E101" s="10">
        <v>4005.9033704200001</v>
      </c>
      <c r="F101" s="10">
        <v>122.33164762000001</v>
      </c>
      <c r="G101" s="10">
        <v>2222.06607196</v>
      </c>
      <c r="H101" s="10">
        <v>434.26111731000003</v>
      </c>
      <c r="I101" s="10">
        <v>333.44572950000003</v>
      </c>
      <c r="J101" s="10">
        <v>68.324408410000004</v>
      </c>
      <c r="K101" s="10">
        <v>276</v>
      </c>
      <c r="L101" s="10">
        <v>200</v>
      </c>
      <c r="M101" s="10">
        <v>495.11095746000001</v>
      </c>
      <c r="N101" s="10">
        <v>298.92591967999999</v>
      </c>
      <c r="O101" s="10">
        <v>372.27316569999999</v>
      </c>
      <c r="P101" s="10">
        <v>57.17940874</v>
      </c>
      <c r="Q101" s="10">
        <v>14.945703770000001</v>
      </c>
      <c r="R101" s="10">
        <v>531.16059143000007</v>
      </c>
      <c r="S101" s="10" t="s">
        <v>69</v>
      </c>
      <c r="T101" s="10">
        <v>183.46167459</v>
      </c>
      <c r="U101" s="10">
        <v>120.89844699999999</v>
      </c>
      <c r="V101" s="10">
        <v>3795.7484293400003</v>
      </c>
      <c r="W101" s="10">
        <v>1026.2086871400002</v>
      </c>
      <c r="X101" s="10">
        <v>23.650460580000008</v>
      </c>
      <c r="Y101" s="10">
        <v>1.9359999999999998E-5</v>
      </c>
      <c r="Z101" s="10">
        <v>0.39197709000000008</v>
      </c>
      <c r="AA101" s="10">
        <v>196.61948611000003</v>
      </c>
      <c r="AB101" s="10">
        <v>15.92046081</v>
      </c>
      <c r="AC101" s="10">
        <v>3089.77913244</v>
      </c>
      <c r="AD101" s="10">
        <v>5103.2621854900008</v>
      </c>
      <c r="AE101" s="10">
        <v>1608.0761008900004</v>
      </c>
      <c r="AF101" s="10">
        <v>739.75703134000003</v>
      </c>
      <c r="AG101" s="10">
        <v>229.07042622999995</v>
      </c>
      <c r="AH101" s="10">
        <v>0.25337275999999997</v>
      </c>
      <c r="AI101" s="10">
        <v>112.39002048999953</v>
      </c>
    </row>
    <row r="102" spans="1:35" ht="15.75" x14ac:dyDescent="0.25">
      <c r="A102" s="13">
        <v>40422</v>
      </c>
      <c r="B102" s="10">
        <v>5364.9025634000009</v>
      </c>
      <c r="C102" s="10">
        <v>378.66443524000005</v>
      </c>
      <c r="D102" s="10">
        <v>6911.2172568000005</v>
      </c>
      <c r="E102" s="10">
        <v>4111.8344569599994</v>
      </c>
      <c r="F102" s="10">
        <v>113.78176715000001</v>
      </c>
      <c r="G102" s="10">
        <v>2511.7068224600002</v>
      </c>
      <c r="H102" s="10">
        <v>413.76482983000005</v>
      </c>
      <c r="I102" s="10">
        <v>365.37984832000001</v>
      </c>
      <c r="J102" s="10">
        <v>63.715818530000007</v>
      </c>
      <c r="K102" s="10">
        <v>300</v>
      </c>
      <c r="L102" s="10">
        <v>209</v>
      </c>
      <c r="M102" s="10">
        <v>578.88237317999892</v>
      </c>
      <c r="N102" s="10">
        <v>320.19200440999998</v>
      </c>
      <c r="O102" s="10">
        <v>395.62637322</v>
      </c>
      <c r="P102" s="10">
        <v>58.760978600000001</v>
      </c>
      <c r="Q102" s="10">
        <v>15.456092659999998</v>
      </c>
      <c r="R102" s="10">
        <v>165.48680378999998</v>
      </c>
      <c r="S102" s="10" t="s">
        <v>69</v>
      </c>
      <c r="T102" s="10">
        <v>185.51316205000003</v>
      </c>
      <c r="U102" s="10">
        <v>125.35604954</v>
      </c>
      <c r="V102" s="10">
        <v>4579.7099083499998</v>
      </c>
      <c r="W102" s="10">
        <v>1116.8524882199999</v>
      </c>
      <c r="X102" s="10">
        <v>23.834216909999995</v>
      </c>
      <c r="Y102" s="10">
        <v>1.4836199999999999E-3</v>
      </c>
      <c r="Z102" s="10">
        <v>0.75800853000000012</v>
      </c>
      <c r="AA102" s="10">
        <v>204.89177022000004</v>
      </c>
      <c r="AB102" s="10">
        <v>18.56715947</v>
      </c>
      <c r="AC102" s="10">
        <v>3193.6331313699993</v>
      </c>
      <c r="AD102" s="10">
        <v>5287.0689189999994</v>
      </c>
      <c r="AE102" s="10">
        <v>1619.7532493500003</v>
      </c>
      <c r="AF102" s="10">
        <v>744.51652327000022</v>
      </c>
      <c r="AG102" s="10">
        <v>231.83437666999995</v>
      </c>
      <c r="AH102" s="10">
        <v>0.14597578</v>
      </c>
      <c r="AI102" s="10">
        <v>-112.19852379000012</v>
      </c>
    </row>
    <row r="103" spans="1:35" ht="15.75" x14ac:dyDescent="0.25">
      <c r="A103" s="13">
        <v>40452</v>
      </c>
      <c r="B103" s="10">
        <v>5797.3943621299995</v>
      </c>
      <c r="C103" s="10">
        <v>367.65254083999997</v>
      </c>
      <c r="D103" s="10">
        <v>6756.7694073999992</v>
      </c>
      <c r="E103" s="10">
        <v>3766.37352809</v>
      </c>
      <c r="F103" s="10">
        <v>115.55347863999998</v>
      </c>
      <c r="G103" s="10">
        <v>2457.7691094199999</v>
      </c>
      <c r="H103" s="10">
        <v>437.56777092999999</v>
      </c>
      <c r="I103" s="10">
        <v>364.52952032999997</v>
      </c>
      <c r="J103" s="10">
        <v>69.962759870000014</v>
      </c>
      <c r="K103" s="10">
        <v>400</v>
      </c>
      <c r="L103" s="10">
        <v>400</v>
      </c>
      <c r="M103" s="10">
        <v>574.64442310000004</v>
      </c>
      <c r="N103" s="10">
        <v>340.08523542</v>
      </c>
      <c r="O103" s="10">
        <v>405.81539478000002</v>
      </c>
      <c r="P103" s="10">
        <v>58.706252209999995</v>
      </c>
      <c r="Q103" s="10">
        <v>14.83269511</v>
      </c>
      <c r="R103" s="10">
        <v>486.22324404999995</v>
      </c>
      <c r="S103" s="10" t="s">
        <v>69</v>
      </c>
      <c r="T103" s="10">
        <v>196.45783168999995</v>
      </c>
      <c r="U103" s="10">
        <v>119.01324462999997</v>
      </c>
      <c r="V103" s="10">
        <v>4918.7681713100001</v>
      </c>
      <c r="W103" s="10">
        <v>1002.8781459100001</v>
      </c>
      <c r="X103" s="10">
        <v>22.228372530000001</v>
      </c>
      <c r="Y103" s="10">
        <v>-1.1025342199999999</v>
      </c>
      <c r="Z103" s="10">
        <v>0.47467531999999996</v>
      </c>
      <c r="AA103" s="10">
        <v>199.37984238000001</v>
      </c>
      <c r="AB103" s="10">
        <v>11.565953440000001</v>
      </c>
      <c r="AC103" s="10">
        <v>3219.9539312400002</v>
      </c>
      <c r="AD103" s="10">
        <v>5347.8397466000006</v>
      </c>
      <c r="AE103" s="10">
        <v>1647.9678673399994</v>
      </c>
      <c r="AF103" s="10">
        <v>745.49580716999981</v>
      </c>
      <c r="AG103" s="10">
        <v>228.66279637999997</v>
      </c>
      <c r="AH103" s="10">
        <v>0.16041859</v>
      </c>
      <c r="AI103" s="10">
        <v>-35.366053860000093</v>
      </c>
    </row>
    <row r="104" spans="1:35" ht="15.75" x14ac:dyDescent="0.25">
      <c r="A104" s="13">
        <v>40483</v>
      </c>
      <c r="B104" s="10">
        <v>5975.6551278900006</v>
      </c>
      <c r="C104" s="10">
        <v>417.43258028999998</v>
      </c>
      <c r="D104" s="10">
        <v>6571.7340598000001</v>
      </c>
      <c r="E104" s="10">
        <v>4412.8860610299998</v>
      </c>
      <c r="F104" s="10">
        <v>112.65932846</v>
      </c>
      <c r="G104" s="10">
        <v>2303.7225844699997</v>
      </c>
      <c r="H104" s="10">
        <v>503.53999059</v>
      </c>
      <c r="I104" s="10">
        <v>405.16584133000003</v>
      </c>
      <c r="J104" s="10">
        <v>77.261718040000005</v>
      </c>
      <c r="K104" s="10">
        <v>350</v>
      </c>
      <c r="L104" s="10">
        <v>150</v>
      </c>
      <c r="M104" s="10">
        <v>598.73380234000012</v>
      </c>
      <c r="N104" s="10">
        <v>341.35782394</v>
      </c>
      <c r="O104" s="10">
        <v>395.30319782000004</v>
      </c>
      <c r="P104" s="10">
        <v>64.791704370000005</v>
      </c>
      <c r="Q104" s="10">
        <v>14.264241200000003</v>
      </c>
      <c r="R104" s="10">
        <v>136.82450481000001</v>
      </c>
      <c r="S104" s="10" t="s">
        <v>69</v>
      </c>
      <c r="T104" s="10">
        <v>204.32803406999997</v>
      </c>
      <c r="U104" s="10">
        <v>141.65039891000001</v>
      </c>
      <c r="V104" s="10">
        <v>4030.0094215599993</v>
      </c>
      <c r="W104" s="10">
        <v>1213.8857550900002</v>
      </c>
      <c r="X104" s="10">
        <v>25.818013119999996</v>
      </c>
      <c r="Y104" s="10">
        <v>-1.9741400000000003E-2</v>
      </c>
      <c r="Z104" s="10">
        <v>0.74776580999999998</v>
      </c>
      <c r="AA104" s="10">
        <v>219.30289349000003</v>
      </c>
      <c r="AB104" s="10">
        <v>14.74043773</v>
      </c>
      <c r="AC104" s="10">
        <v>3378.5643434499984</v>
      </c>
      <c r="AD104" s="10">
        <v>5606.0439642699994</v>
      </c>
      <c r="AE104" s="10">
        <v>1717.6722672599997</v>
      </c>
      <c r="AF104" s="10">
        <v>784.3564684700001</v>
      </c>
      <c r="AG104" s="10">
        <v>242.02104220000004</v>
      </c>
      <c r="AH104" s="10">
        <v>0.70730152999999996</v>
      </c>
      <c r="AI104" s="10">
        <v>-84.759683689999918</v>
      </c>
    </row>
    <row r="105" spans="1:35" ht="15.75" x14ac:dyDescent="0.25">
      <c r="A105" s="13">
        <v>40513</v>
      </c>
      <c r="B105" s="10">
        <v>6849.37678237</v>
      </c>
      <c r="C105" s="10">
        <v>372.68678481000001</v>
      </c>
      <c r="D105" s="10">
        <v>7906.3565345799998</v>
      </c>
      <c r="E105" s="10">
        <v>4105.3938614799999</v>
      </c>
      <c r="F105" s="10">
        <v>108.94755459999999</v>
      </c>
      <c r="G105" s="10">
        <v>2886.3709040399999</v>
      </c>
      <c r="H105" s="10">
        <v>446.2313291100001</v>
      </c>
      <c r="I105" s="10">
        <v>414.18467387999999</v>
      </c>
      <c r="J105" s="10">
        <v>68.889706830000009</v>
      </c>
      <c r="K105" s="10">
        <v>370</v>
      </c>
      <c r="L105" s="10">
        <v>386</v>
      </c>
      <c r="M105" s="10">
        <v>667.45361382999999</v>
      </c>
      <c r="N105" s="10">
        <v>514.39588861000004</v>
      </c>
      <c r="O105" s="10">
        <v>618.94070165000005</v>
      </c>
      <c r="P105" s="10">
        <v>94.383173250000013</v>
      </c>
      <c r="Q105" s="10">
        <v>13.696621349999997</v>
      </c>
      <c r="R105" s="10">
        <v>484.06892533000007</v>
      </c>
      <c r="S105" s="10" t="s">
        <v>69</v>
      </c>
      <c r="T105" s="10">
        <v>206.55549327999998</v>
      </c>
      <c r="U105" s="10">
        <v>138.78852438999996</v>
      </c>
      <c r="V105" s="10">
        <v>3018.5074554700004</v>
      </c>
      <c r="W105" s="10">
        <v>1111.58288533</v>
      </c>
      <c r="X105" s="10">
        <v>22.051998089999998</v>
      </c>
      <c r="Y105" s="10">
        <v>9.4461000000000002E-4</v>
      </c>
      <c r="Z105" s="10">
        <v>0.81339768000000001</v>
      </c>
      <c r="AA105" s="10">
        <v>201.04752377999995</v>
      </c>
      <c r="AB105" s="10">
        <v>20.12939957</v>
      </c>
      <c r="AC105" s="10">
        <v>3365.1157133599991</v>
      </c>
      <c r="AD105" s="10">
        <v>5624.1554303699995</v>
      </c>
      <c r="AE105" s="10">
        <v>1752.8839181400001</v>
      </c>
      <c r="AF105" s="10">
        <v>813.40291436999996</v>
      </c>
      <c r="AG105" s="10">
        <v>234.87443942000004</v>
      </c>
      <c r="AH105" s="10">
        <v>0.70057738999999997</v>
      </c>
      <c r="AI105" s="10">
        <v>-79.073341480000238</v>
      </c>
    </row>
    <row r="106" spans="1:35" ht="15.75" x14ac:dyDescent="0.25">
      <c r="A106" s="13">
        <v>40544</v>
      </c>
      <c r="B106" s="10">
        <v>6712.7820288600005</v>
      </c>
      <c r="C106" s="10">
        <v>398.01801136999995</v>
      </c>
      <c r="D106" s="10">
        <v>8150.19995612</v>
      </c>
      <c r="E106" s="10">
        <v>4187.0605868500006</v>
      </c>
      <c r="F106" s="10">
        <v>91.924661</v>
      </c>
      <c r="G106" s="10">
        <v>2661.8409737599995</v>
      </c>
      <c r="H106" s="10">
        <v>568.33832960000007</v>
      </c>
      <c r="I106" s="10">
        <v>440.17649435000004</v>
      </c>
      <c r="J106" s="10">
        <v>89.406843539999983</v>
      </c>
      <c r="K106" s="10">
        <v>500</v>
      </c>
      <c r="L106" s="10">
        <v>400</v>
      </c>
      <c r="M106" s="10">
        <v>516.53530550000005</v>
      </c>
      <c r="N106" s="10">
        <v>136.70487772000001</v>
      </c>
      <c r="O106" s="10">
        <v>158.67408994999997</v>
      </c>
      <c r="P106" s="10">
        <v>32.208544230000001</v>
      </c>
      <c r="Q106" s="10">
        <v>16.579552660000001</v>
      </c>
      <c r="R106" s="10">
        <v>107.18912213</v>
      </c>
      <c r="S106" s="10" t="s">
        <v>69</v>
      </c>
      <c r="T106" s="10">
        <v>209.78001879000007</v>
      </c>
      <c r="U106" s="10">
        <v>140.50520036</v>
      </c>
      <c r="V106" s="10">
        <v>3605.3064521300003</v>
      </c>
      <c r="W106" s="10">
        <v>1086.77997888</v>
      </c>
      <c r="X106" s="10">
        <v>23.256840540000002</v>
      </c>
      <c r="Y106" s="10">
        <v>1.399595E-2</v>
      </c>
      <c r="Z106" s="10">
        <v>0.75380859999999994</v>
      </c>
      <c r="AA106" s="10">
        <v>205.35854806</v>
      </c>
      <c r="AB106" s="10">
        <v>15.8950703</v>
      </c>
      <c r="AC106" s="10">
        <v>4674.0181573799991</v>
      </c>
      <c r="AD106" s="10">
        <v>7489.8835602500003</v>
      </c>
      <c r="AE106" s="10">
        <v>2539.2295401499996</v>
      </c>
      <c r="AF106" s="10">
        <v>1133.9680804100001</v>
      </c>
      <c r="AG106" s="10">
        <v>254.02984653999999</v>
      </c>
      <c r="AH106" s="10">
        <v>0.42192785000000005</v>
      </c>
      <c r="AI106" s="10">
        <v>47.185513340000107</v>
      </c>
    </row>
    <row r="107" spans="1:35" ht="15.75" x14ac:dyDescent="0.25">
      <c r="A107" s="13">
        <v>40575</v>
      </c>
      <c r="B107" s="10">
        <v>6494.6937542200003</v>
      </c>
      <c r="C107" s="10">
        <v>373.01423356999999</v>
      </c>
      <c r="D107" s="10">
        <v>7277.7764972399991</v>
      </c>
      <c r="E107" s="10">
        <v>3763.8220183499998</v>
      </c>
      <c r="F107" s="10">
        <v>119.15871597000002</v>
      </c>
      <c r="G107" s="10">
        <v>2619.4235969700003</v>
      </c>
      <c r="H107" s="10">
        <v>501.92381594</v>
      </c>
      <c r="I107" s="10">
        <v>406.27713900999998</v>
      </c>
      <c r="J107" s="10">
        <v>79.262024629999999</v>
      </c>
      <c r="K107" s="10">
        <v>353</v>
      </c>
      <c r="L107" s="10">
        <v>126</v>
      </c>
      <c r="M107" s="10">
        <v>689.05827770000008</v>
      </c>
      <c r="N107" s="10">
        <v>332.77195051999996</v>
      </c>
      <c r="O107" s="10">
        <v>384.70954514999994</v>
      </c>
      <c r="P107" s="10">
        <v>70.811587770000003</v>
      </c>
      <c r="Q107" s="10">
        <v>12.992048959999998</v>
      </c>
      <c r="R107" s="10">
        <v>439.22127976000002</v>
      </c>
      <c r="S107" s="10" t="s">
        <v>69</v>
      </c>
      <c r="T107" s="10">
        <v>209.04939679999998</v>
      </c>
      <c r="U107" s="10">
        <v>114.13256087000001</v>
      </c>
      <c r="V107" s="10">
        <v>3022.7251975700001</v>
      </c>
      <c r="W107" s="10">
        <v>942.87468354000021</v>
      </c>
      <c r="X107" s="10">
        <v>19.993990260000004</v>
      </c>
      <c r="Y107" s="10">
        <v>2.5409999999999999E-5</v>
      </c>
      <c r="Z107" s="10">
        <v>1.0101904900000001</v>
      </c>
      <c r="AA107" s="10">
        <v>190.74766218000002</v>
      </c>
      <c r="AB107" s="10">
        <v>13.756005399999998</v>
      </c>
      <c r="AC107" s="10">
        <v>3603.34152954</v>
      </c>
      <c r="AD107" s="10">
        <v>6053.966577780001</v>
      </c>
      <c r="AE107" s="10">
        <v>1953.8790067700004</v>
      </c>
      <c r="AF107" s="10">
        <v>902.05583764000016</v>
      </c>
      <c r="AG107" s="10">
        <v>234.47432629999997</v>
      </c>
      <c r="AH107" s="10">
        <v>10.097231629999996</v>
      </c>
      <c r="AI107" s="10">
        <v>-274.97150703000057</v>
      </c>
    </row>
    <row r="108" spans="1:35" ht="15.75" x14ac:dyDescent="0.25">
      <c r="A108" s="13">
        <v>40603</v>
      </c>
      <c r="B108" s="10">
        <v>5529.7102195899997</v>
      </c>
      <c r="C108" s="10">
        <v>441.08037802000001</v>
      </c>
      <c r="D108" s="10">
        <v>7188.7021854699997</v>
      </c>
      <c r="E108" s="10">
        <v>4749.5044832099993</v>
      </c>
      <c r="F108" s="10">
        <v>106.89822374000001</v>
      </c>
      <c r="G108" s="10">
        <v>2437.2518835999999</v>
      </c>
      <c r="H108" s="10">
        <v>522.58732354999995</v>
      </c>
      <c r="I108" s="10">
        <v>369.81227927999998</v>
      </c>
      <c r="J108" s="10">
        <v>80.237540050000007</v>
      </c>
      <c r="K108" s="10">
        <v>200</v>
      </c>
      <c r="L108" s="10">
        <v>350</v>
      </c>
      <c r="M108" s="10">
        <v>652.67915698000002</v>
      </c>
      <c r="N108" s="10">
        <v>228.0702411</v>
      </c>
      <c r="O108" s="10">
        <v>340.05655434000005</v>
      </c>
      <c r="P108" s="10">
        <v>61.928152830000002</v>
      </c>
      <c r="Q108" s="10">
        <v>12.894981719999999</v>
      </c>
      <c r="R108" s="10">
        <v>102.65649231</v>
      </c>
      <c r="S108" s="10" t="s">
        <v>69</v>
      </c>
      <c r="T108" s="10">
        <v>244.70685709</v>
      </c>
      <c r="U108" s="10">
        <v>131.27072258000001</v>
      </c>
      <c r="V108" s="10">
        <v>3915.3203736099999</v>
      </c>
      <c r="W108" s="10">
        <v>1137.11602156</v>
      </c>
      <c r="X108" s="10">
        <v>23.943948490000004</v>
      </c>
      <c r="Y108" s="10">
        <v>1.9334300000000001E-3</v>
      </c>
      <c r="Z108" s="10">
        <v>0.92979374000000004</v>
      </c>
      <c r="AA108" s="10">
        <v>214.64817308999997</v>
      </c>
      <c r="AB108" s="10">
        <v>14.007520509999999</v>
      </c>
      <c r="AC108" s="10">
        <v>3544.3107167599997</v>
      </c>
      <c r="AD108" s="10">
        <v>5830.2791114999991</v>
      </c>
      <c r="AE108" s="10">
        <v>1877.3371969499999</v>
      </c>
      <c r="AF108" s="10">
        <v>846.99015061000011</v>
      </c>
      <c r="AG108" s="10">
        <v>249.50916362999999</v>
      </c>
      <c r="AH108" s="10">
        <v>11.53823401</v>
      </c>
      <c r="AI108" s="10">
        <v>330.2182696299999</v>
      </c>
    </row>
    <row r="109" spans="1:35" ht="15.75" x14ac:dyDescent="0.25">
      <c r="A109" s="13">
        <v>40634</v>
      </c>
      <c r="B109" s="10">
        <v>6270.4067322600004</v>
      </c>
      <c r="C109" s="10">
        <v>424.80677874999998</v>
      </c>
      <c r="D109" s="10">
        <v>7366.9140293700002</v>
      </c>
      <c r="E109" s="10">
        <v>4491.17820106</v>
      </c>
      <c r="F109" s="10">
        <v>104.72595513000002</v>
      </c>
      <c r="G109" s="10">
        <v>2687.5390845399997</v>
      </c>
      <c r="H109" s="10">
        <v>552.5752215</v>
      </c>
      <c r="I109" s="10">
        <v>365.07304726999996</v>
      </c>
      <c r="J109" s="10">
        <v>88.113834220000001</v>
      </c>
      <c r="K109" s="10">
        <v>280</v>
      </c>
      <c r="L109" s="10">
        <v>500</v>
      </c>
      <c r="M109" s="10">
        <v>605.51479517999906</v>
      </c>
      <c r="N109" s="10">
        <v>303.38676588999999</v>
      </c>
      <c r="O109" s="10">
        <v>392.47480399999995</v>
      </c>
      <c r="P109" s="10">
        <v>69.060647210000013</v>
      </c>
      <c r="Q109" s="10">
        <v>13.346535380000001</v>
      </c>
      <c r="R109" s="10">
        <v>259.42324172000002</v>
      </c>
      <c r="S109" s="10" t="s">
        <v>69</v>
      </c>
      <c r="T109" s="10">
        <v>229.78724950999998</v>
      </c>
      <c r="U109" s="10">
        <v>133.88310194000002</v>
      </c>
      <c r="V109" s="10">
        <v>4573.77057633</v>
      </c>
      <c r="W109" s="10">
        <v>1065.5147091499998</v>
      </c>
      <c r="X109" s="10">
        <v>22.883980509999997</v>
      </c>
      <c r="Y109" s="10">
        <v>3.0079290000000002E-2</v>
      </c>
      <c r="Z109" s="10">
        <v>0.46101973999999996</v>
      </c>
      <c r="AA109" s="10">
        <v>205.79326533999998</v>
      </c>
      <c r="AB109" s="10">
        <v>17.501337080000003</v>
      </c>
      <c r="AC109" s="10">
        <v>3802.9801548400005</v>
      </c>
      <c r="AD109" s="10">
        <v>6443.1948373100004</v>
      </c>
      <c r="AE109" s="10">
        <v>2020.0966765999999</v>
      </c>
      <c r="AF109" s="10">
        <v>901.11766502</v>
      </c>
      <c r="AG109" s="10">
        <v>232.91534236000001</v>
      </c>
      <c r="AH109" s="10">
        <v>11.971828979999996</v>
      </c>
      <c r="AI109" s="10">
        <v>72.67226595000021</v>
      </c>
    </row>
    <row r="110" spans="1:35" ht="15.75" x14ac:dyDescent="0.25">
      <c r="A110" s="13">
        <v>40664</v>
      </c>
      <c r="B110" s="10">
        <v>13519.5</v>
      </c>
      <c r="C110" s="10">
        <v>520.9</v>
      </c>
      <c r="D110" s="10">
        <v>8512.1</v>
      </c>
      <c r="E110" s="10">
        <v>4850.2</v>
      </c>
      <c r="F110" s="10">
        <v>93.8</v>
      </c>
      <c r="G110" s="10">
        <v>2951.4</v>
      </c>
      <c r="H110" s="10">
        <v>505.39315361000001</v>
      </c>
      <c r="I110" s="10">
        <v>362.11392064</v>
      </c>
      <c r="J110" s="10">
        <v>75.307404970000007</v>
      </c>
      <c r="K110" s="10">
        <v>320</v>
      </c>
      <c r="L110" s="10">
        <v>250</v>
      </c>
      <c r="M110" s="10">
        <v>655.35048117999895</v>
      </c>
      <c r="N110" s="10">
        <v>412.36791826000001</v>
      </c>
      <c r="O110" s="10">
        <v>461.67223986000005</v>
      </c>
      <c r="P110" s="10">
        <v>64.468873689999995</v>
      </c>
      <c r="Q110" s="10">
        <v>13.248874200000001</v>
      </c>
      <c r="R110" s="10">
        <v>1742.8</v>
      </c>
      <c r="S110" s="10" t="s">
        <v>69</v>
      </c>
      <c r="T110" s="10">
        <v>242.92632287000001</v>
      </c>
      <c r="U110" s="10">
        <v>140.36140101000001</v>
      </c>
      <c r="V110" s="10">
        <v>4667.3999999999996</v>
      </c>
      <c r="W110" s="10">
        <v>1121.7368065199998</v>
      </c>
      <c r="X110" s="10">
        <v>24.269601609999999</v>
      </c>
      <c r="Y110" s="10">
        <v>1.1622450000000003E-2</v>
      </c>
      <c r="Z110" s="10">
        <v>0.48846425999999998</v>
      </c>
      <c r="AA110" s="10">
        <v>228.52454654000002</v>
      </c>
      <c r="AB110" s="10">
        <v>17.292605700000003</v>
      </c>
      <c r="AC110" s="10">
        <v>3919.8095200200005</v>
      </c>
      <c r="AD110" s="10">
        <v>6365.7568586099997</v>
      </c>
      <c r="AE110" s="10">
        <v>2015.0264628299997</v>
      </c>
      <c r="AF110" s="10">
        <v>950.42779958999995</v>
      </c>
      <c r="AG110" s="10">
        <v>277.72877384999993</v>
      </c>
      <c r="AH110" s="10">
        <v>11.261940389999996</v>
      </c>
      <c r="AI110" s="10">
        <v>39.350281110000026</v>
      </c>
    </row>
    <row r="111" spans="1:35" ht="15.75" x14ac:dyDescent="0.25">
      <c r="A111" s="13">
        <v>40695</v>
      </c>
      <c r="B111" s="10">
        <v>12851.8</v>
      </c>
      <c r="C111" s="10">
        <v>506.5</v>
      </c>
      <c r="D111" s="10">
        <v>7685.9</v>
      </c>
      <c r="E111" s="10">
        <v>4864.8</v>
      </c>
      <c r="F111" s="10">
        <v>104.2</v>
      </c>
      <c r="G111" s="10">
        <v>3175.8</v>
      </c>
      <c r="H111" s="10">
        <v>453.48610871999995</v>
      </c>
      <c r="I111" s="10">
        <v>322.02011386999999</v>
      </c>
      <c r="J111" s="10">
        <v>74.494733400000015</v>
      </c>
      <c r="K111" s="10">
        <v>279</v>
      </c>
      <c r="L111" s="10">
        <v>731</v>
      </c>
      <c r="M111" s="10">
        <v>529.55851651</v>
      </c>
      <c r="N111" s="10">
        <v>349.44637799000003</v>
      </c>
      <c r="O111" s="10">
        <v>398.56524417999998</v>
      </c>
      <c r="P111" s="10">
        <v>71.340355689999996</v>
      </c>
      <c r="Q111" s="10">
        <v>16.066741260000001</v>
      </c>
      <c r="R111" s="10">
        <v>728.6</v>
      </c>
      <c r="S111" s="10" t="s">
        <v>69</v>
      </c>
      <c r="T111" s="10">
        <v>251.99081951000002</v>
      </c>
      <c r="U111" s="10">
        <v>157.99091292999995</v>
      </c>
      <c r="V111" s="10">
        <v>5141.3999999999996</v>
      </c>
      <c r="W111" s="10">
        <v>1156.5065389000001</v>
      </c>
      <c r="X111" s="10">
        <v>24.355695449999999</v>
      </c>
      <c r="Y111" s="10">
        <v>5.1268000000000006E-4</v>
      </c>
      <c r="Z111" s="10">
        <v>0.65947</v>
      </c>
      <c r="AA111" s="10">
        <v>233.54247727999996</v>
      </c>
      <c r="AB111" s="10">
        <v>19.987188599999996</v>
      </c>
      <c r="AC111" s="10">
        <v>4037.0834254600004</v>
      </c>
      <c r="AD111" s="10">
        <v>6527.6639365600013</v>
      </c>
      <c r="AE111" s="10">
        <v>2052.0839561899998</v>
      </c>
      <c r="AF111" s="10">
        <v>975.66000908999979</v>
      </c>
      <c r="AG111" s="10">
        <v>252.34348080999999</v>
      </c>
      <c r="AH111" s="10">
        <v>12.89453546</v>
      </c>
      <c r="AI111" s="10">
        <v>269.78094501000027</v>
      </c>
    </row>
    <row r="112" spans="1:35" ht="15.75" x14ac:dyDescent="0.25">
      <c r="A112" s="13">
        <v>40725</v>
      </c>
      <c r="B112" s="10">
        <v>8161.1</v>
      </c>
      <c r="C112" s="10">
        <v>511.6</v>
      </c>
      <c r="D112" s="10">
        <v>9041.7000000000007</v>
      </c>
      <c r="E112" s="10">
        <v>4497.5</v>
      </c>
      <c r="F112" s="10">
        <v>119.5</v>
      </c>
      <c r="G112" s="10">
        <v>3292.8</v>
      </c>
      <c r="H112" s="10">
        <v>480.96579724999998</v>
      </c>
      <c r="I112" s="10">
        <v>345.81512514000002</v>
      </c>
      <c r="J112" s="10">
        <v>107.14141653000004</v>
      </c>
      <c r="K112" s="10">
        <v>325</v>
      </c>
      <c r="L112" s="10">
        <v>300</v>
      </c>
      <c r="M112" s="10">
        <v>486.28783361999996</v>
      </c>
      <c r="N112" s="10">
        <v>289.53981228999999</v>
      </c>
      <c r="O112" s="10">
        <v>352.29770803999997</v>
      </c>
      <c r="P112" s="10">
        <v>59.452481820000003</v>
      </c>
      <c r="Q112" s="10">
        <v>14.005747479999998</v>
      </c>
      <c r="R112" s="10">
        <v>373.7</v>
      </c>
      <c r="S112" s="10" t="s">
        <v>69</v>
      </c>
      <c r="T112" s="10">
        <v>254.60993481</v>
      </c>
      <c r="U112" s="10">
        <v>159.94883446999998</v>
      </c>
      <c r="V112" s="10">
        <v>4480.2</v>
      </c>
      <c r="W112" s="10">
        <v>1117.6503228399997</v>
      </c>
      <c r="X112" s="10">
        <v>24.982592710000009</v>
      </c>
      <c r="Y112" s="10">
        <v>0.10155262999999999</v>
      </c>
      <c r="Z112" s="10">
        <v>0.41548834000000018</v>
      </c>
      <c r="AA112" s="10">
        <v>241.47932999999998</v>
      </c>
      <c r="AB112" s="10">
        <v>22.032157820000002</v>
      </c>
      <c r="AC112" s="10">
        <v>5492.10799916</v>
      </c>
      <c r="AD112" s="10">
        <v>8637.7351482799986</v>
      </c>
      <c r="AE112" s="10">
        <v>3030.3428690200008</v>
      </c>
      <c r="AF112" s="10">
        <v>1323.7492941100008</v>
      </c>
      <c r="AG112" s="10">
        <v>277.46013228000004</v>
      </c>
      <c r="AH112" s="10">
        <v>12.046013709999999</v>
      </c>
      <c r="AI112" s="10">
        <v>46.944580709999904</v>
      </c>
    </row>
    <row r="113" spans="1:35" ht="15.75" x14ac:dyDescent="0.25">
      <c r="A113" s="13">
        <v>40756</v>
      </c>
      <c r="B113" s="10">
        <v>8586.2149941400003</v>
      </c>
      <c r="C113" s="10">
        <v>512.33338832000004</v>
      </c>
      <c r="D113" s="10">
        <v>8140.26064047</v>
      </c>
      <c r="E113" s="10">
        <v>5729.05387049</v>
      </c>
      <c r="F113" s="10">
        <v>121.73977316</v>
      </c>
      <c r="G113" s="10">
        <v>2915.4919748100001</v>
      </c>
      <c r="H113" s="10">
        <v>514.52048003999994</v>
      </c>
      <c r="I113" s="10">
        <v>370.52301664000004</v>
      </c>
      <c r="J113" s="10">
        <v>84.910756540000008</v>
      </c>
      <c r="K113" s="10">
        <v>304</v>
      </c>
      <c r="L113" s="10">
        <v>668</v>
      </c>
      <c r="M113" s="10">
        <v>708.80699197000001</v>
      </c>
      <c r="N113" s="10">
        <v>310.60405518000005</v>
      </c>
      <c r="O113" s="10">
        <v>459.80233881000004</v>
      </c>
      <c r="P113" s="10">
        <v>80.073377240000028</v>
      </c>
      <c r="Q113" s="10">
        <v>14.336853469999999</v>
      </c>
      <c r="R113" s="10">
        <v>629.30329834999998</v>
      </c>
      <c r="S113" s="10" t="s">
        <v>69</v>
      </c>
      <c r="T113" s="10">
        <v>257.38929861999998</v>
      </c>
      <c r="U113" s="10">
        <v>167.6870601</v>
      </c>
      <c r="V113" s="10">
        <v>5609.3105238800008</v>
      </c>
      <c r="W113" s="10">
        <v>1246.9070643799998</v>
      </c>
      <c r="X113" s="10">
        <v>27.276648519999995</v>
      </c>
      <c r="Y113" s="10">
        <v>-9.9405669999999988E-2</v>
      </c>
      <c r="Z113" s="10">
        <v>0.88976592999999993</v>
      </c>
      <c r="AA113" s="10">
        <v>291.21504283000007</v>
      </c>
      <c r="AB113" s="10">
        <v>22.20892563</v>
      </c>
      <c r="AC113" s="10">
        <v>4270.5336954200002</v>
      </c>
      <c r="AD113" s="10">
        <v>6821.4382975399985</v>
      </c>
      <c r="AE113" s="10">
        <v>2283.6410435399998</v>
      </c>
      <c r="AF113" s="10">
        <v>1047.05320136</v>
      </c>
      <c r="AG113" s="10">
        <v>268.45491236000009</v>
      </c>
      <c r="AH113" s="10">
        <v>13.778262179999999</v>
      </c>
      <c r="AI113" s="10">
        <v>209.89349055000014</v>
      </c>
    </row>
    <row r="114" spans="1:35" ht="15.75" x14ac:dyDescent="0.25">
      <c r="A114" s="13">
        <v>40787</v>
      </c>
      <c r="B114" s="10">
        <v>8169.5666437499995</v>
      </c>
      <c r="C114" s="10">
        <v>492.89889947</v>
      </c>
      <c r="D114" s="10">
        <v>9612.2342200099993</v>
      </c>
      <c r="E114" s="10">
        <v>5010.2980219499996</v>
      </c>
      <c r="F114" s="10">
        <v>121.19720008</v>
      </c>
      <c r="G114" s="10">
        <v>3542.3835177999999</v>
      </c>
      <c r="H114" s="10">
        <v>511.03258829999999</v>
      </c>
      <c r="I114" s="10">
        <v>418.18271998000006</v>
      </c>
      <c r="J114" s="10">
        <v>78.406229799999991</v>
      </c>
      <c r="K114" s="10">
        <v>300</v>
      </c>
      <c r="L114" s="10">
        <v>355</v>
      </c>
      <c r="M114" s="10">
        <v>643.15150203999997</v>
      </c>
      <c r="N114" s="10">
        <v>364.77386242</v>
      </c>
      <c r="O114" s="10">
        <v>410.40266034000007</v>
      </c>
      <c r="P114" s="10">
        <v>70.991735879999993</v>
      </c>
      <c r="Q114" s="10">
        <v>14.512634000000002</v>
      </c>
      <c r="R114" s="10">
        <v>179.97137426999998</v>
      </c>
      <c r="S114" s="10" t="s">
        <v>69</v>
      </c>
      <c r="T114" s="10">
        <v>255.92912552999996</v>
      </c>
      <c r="U114" s="10">
        <v>161.37893632000001</v>
      </c>
      <c r="V114" s="10">
        <v>5599.5879337599999</v>
      </c>
      <c r="W114" s="10">
        <v>1365.2637309699996</v>
      </c>
      <c r="X114" s="10">
        <v>29.316829450000004</v>
      </c>
      <c r="Y114" s="10">
        <v>1.9359999999999998E-5</v>
      </c>
      <c r="Z114" s="10">
        <v>0.53496586999999995</v>
      </c>
      <c r="AA114" s="10">
        <v>275.03853118999996</v>
      </c>
      <c r="AB114" s="10">
        <v>20.967577969999997</v>
      </c>
      <c r="AC114" s="10">
        <v>4423.4965499800001</v>
      </c>
      <c r="AD114" s="10">
        <v>6986.8537415999999</v>
      </c>
      <c r="AE114" s="10">
        <v>2248.34901881</v>
      </c>
      <c r="AF114" s="10">
        <v>1049.6050866200001</v>
      </c>
      <c r="AG114" s="10">
        <v>266.34809383999999</v>
      </c>
      <c r="AH114" s="10">
        <v>13.44647279</v>
      </c>
      <c r="AI114" s="10">
        <v>-14.829329530000242</v>
      </c>
    </row>
    <row r="115" spans="1:35" ht="15.75" x14ac:dyDescent="0.25">
      <c r="A115" s="13">
        <v>40817</v>
      </c>
      <c r="B115" s="10">
        <v>8487.5820255500003</v>
      </c>
      <c r="C115" s="10">
        <v>435.14888342999996</v>
      </c>
      <c r="D115" s="10">
        <v>8632.9645125099996</v>
      </c>
      <c r="E115" s="10">
        <v>5005.54136363</v>
      </c>
      <c r="F115" s="10">
        <v>134.29176075999999</v>
      </c>
      <c r="G115" s="10">
        <v>3145.4578063300005</v>
      </c>
      <c r="H115" s="10">
        <v>530.30978039000001</v>
      </c>
      <c r="I115" s="10">
        <v>414.98878945000001</v>
      </c>
      <c r="J115" s="10">
        <v>85.616872789999988</v>
      </c>
      <c r="K115" s="10">
        <v>582</v>
      </c>
      <c r="L115" s="10">
        <v>350</v>
      </c>
      <c r="M115" s="10">
        <v>813.94408605999899</v>
      </c>
      <c r="N115" s="10">
        <v>366.36701786999998</v>
      </c>
      <c r="O115" s="10">
        <v>435.91488138</v>
      </c>
      <c r="P115" s="10">
        <v>83.713849199999984</v>
      </c>
      <c r="Q115" s="10">
        <v>13.618365019999999</v>
      </c>
      <c r="R115" s="10">
        <v>583.61851514999989</v>
      </c>
      <c r="S115" s="10" t="s">
        <v>69</v>
      </c>
      <c r="T115" s="10">
        <v>274.36564119000008</v>
      </c>
      <c r="U115" s="10">
        <v>171.95996078000002</v>
      </c>
      <c r="V115" s="10">
        <v>5828.33053612</v>
      </c>
      <c r="W115" s="10">
        <v>1351.0510305700002</v>
      </c>
      <c r="X115" s="10">
        <v>28.318235199999997</v>
      </c>
      <c r="Y115" s="10">
        <v>-0.49741829000000004</v>
      </c>
      <c r="Z115" s="10">
        <v>0.66910934999999994</v>
      </c>
      <c r="AA115" s="10">
        <v>267.47199625999997</v>
      </c>
      <c r="AB115" s="10">
        <v>24.244266360000001</v>
      </c>
      <c r="AC115" s="10">
        <v>4531.1617224800011</v>
      </c>
      <c r="AD115" s="10">
        <v>7055.5407896699999</v>
      </c>
      <c r="AE115" s="10">
        <v>2295.4923362599998</v>
      </c>
      <c r="AF115" s="10">
        <v>1053.9687078899997</v>
      </c>
      <c r="AG115" s="10">
        <v>264.56415169999991</v>
      </c>
      <c r="AH115" s="10">
        <v>13.705655030000001</v>
      </c>
      <c r="AI115" s="10">
        <v>-55.866066829999724</v>
      </c>
    </row>
    <row r="116" spans="1:35" ht="15.75" x14ac:dyDescent="0.25">
      <c r="A116" s="13">
        <v>40848</v>
      </c>
      <c r="B116" s="10">
        <v>8767.6</v>
      </c>
      <c r="C116" s="10">
        <v>427.3</v>
      </c>
      <c r="D116" s="10">
        <v>9813.4</v>
      </c>
      <c r="E116" s="10">
        <v>5290.6</v>
      </c>
      <c r="F116" s="10">
        <v>110.8</v>
      </c>
      <c r="G116" s="10">
        <v>3351</v>
      </c>
      <c r="H116" s="10">
        <v>524.91476734000003</v>
      </c>
      <c r="I116" s="10">
        <v>419.95333041000004</v>
      </c>
      <c r="J116" s="10">
        <v>87.027727609999999</v>
      </c>
      <c r="K116" s="10">
        <v>16</v>
      </c>
      <c r="L116" s="10">
        <v>10</v>
      </c>
      <c r="M116" s="10">
        <v>778.88599749000002</v>
      </c>
      <c r="N116" s="10">
        <v>330.67362442999996</v>
      </c>
      <c r="O116" s="10">
        <v>416.99201005000003</v>
      </c>
      <c r="P116" s="10">
        <v>80.67232233999998</v>
      </c>
      <c r="Q116" s="10">
        <v>15.361632440000001</v>
      </c>
      <c r="R116" s="10">
        <v>163.69999999999999</v>
      </c>
      <c r="S116" s="10" t="s">
        <v>69</v>
      </c>
      <c r="T116" s="10">
        <v>274.77643058999996</v>
      </c>
      <c r="U116" s="10">
        <v>190.53654750999999</v>
      </c>
      <c r="V116" s="10">
        <v>3714.1</v>
      </c>
      <c r="W116" s="10">
        <v>1441.3657416599999</v>
      </c>
      <c r="X116" s="10">
        <v>28.591876880000001</v>
      </c>
      <c r="Y116" s="10">
        <v>2.7324100000000007E-3</v>
      </c>
      <c r="Z116" s="10">
        <v>1.0314804999999998</v>
      </c>
      <c r="AA116" s="10">
        <v>276.21513728000002</v>
      </c>
      <c r="AB116" s="10">
        <v>27.61686851</v>
      </c>
      <c r="AC116" s="10">
        <v>4528.5897861499989</v>
      </c>
      <c r="AD116" s="10">
        <v>7012.6564723499996</v>
      </c>
      <c r="AE116" s="10">
        <v>2317.3932394499998</v>
      </c>
      <c r="AF116" s="10">
        <v>1056.18799182</v>
      </c>
      <c r="AG116" s="10">
        <v>257.18792879</v>
      </c>
      <c r="AH116" s="10">
        <v>14.570102200000003</v>
      </c>
      <c r="AI116" s="10">
        <v>-500.67362976000044</v>
      </c>
    </row>
    <row r="117" spans="1:35" ht="15.75" x14ac:dyDescent="0.25">
      <c r="A117" s="13">
        <v>40878</v>
      </c>
      <c r="B117" s="10">
        <v>9589.0044194700004</v>
      </c>
      <c r="C117" s="10">
        <v>414.31987525</v>
      </c>
      <c r="D117" s="10">
        <v>8980.1537805299995</v>
      </c>
      <c r="E117" s="10">
        <v>5224.02591106</v>
      </c>
      <c r="F117" s="10">
        <v>128.70628988999999</v>
      </c>
      <c r="G117" s="10">
        <v>3399.1125981499999</v>
      </c>
      <c r="H117" s="10">
        <v>616.6192226600001</v>
      </c>
      <c r="I117" s="10">
        <v>438.69360259000001</v>
      </c>
      <c r="J117" s="10">
        <v>96.341753669999989</v>
      </c>
      <c r="K117" s="10">
        <v>370</v>
      </c>
      <c r="L117" s="10">
        <v>650</v>
      </c>
      <c r="M117" s="10">
        <v>982.61163938999994</v>
      </c>
      <c r="N117" s="10">
        <v>602.78114288999996</v>
      </c>
      <c r="O117" s="10">
        <v>773.12076728000011</v>
      </c>
      <c r="P117" s="10">
        <v>140.24214105999997</v>
      </c>
      <c r="Q117" s="10">
        <v>14.994175099999998</v>
      </c>
      <c r="R117" s="10">
        <v>581.79525427999999</v>
      </c>
      <c r="S117" s="10" t="s">
        <v>69</v>
      </c>
      <c r="T117" s="10">
        <v>277.72569502999994</v>
      </c>
      <c r="U117" s="10">
        <v>180.01236092000005</v>
      </c>
      <c r="V117" s="10">
        <v>4005.8799660000004</v>
      </c>
      <c r="W117" s="10">
        <v>1339.80659165</v>
      </c>
      <c r="X117" s="10">
        <v>27.746332979999998</v>
      </c>
      <c r="Y117" s="10">
        <v>9.4414100000000025E-3</v>
      </c>
      <c r="Z117" s="10">
        <v>0.46012990999999998</v>
      </c>
      <c r="AA117" s="10">
        <v>256.82230893999997</v>
      </c>
      <c r="AB117" s="10">
        <v>23.243226230000001</v>
      </c>
      <c r="AC117" s="10">
        <v>4640.0087541499997</v>
      </c>
      <c r="AD117" s="10">
        <v>7119.1364219700008</v>
      </c>
      <c r="AE117" s="10">
        <v>2374.7852838599997</v>
      </c>
      <c r="AF117" s="10">
        <v>1096.73331968</v>
      </c>
      <c r="AG117" s="10">
        <v>262.35365425000003</v>
      </c>
      <c r="AH117" s="10">
        <v>14.690030309999996</v>
      </c>
      <c r="AI117" s="10">
        <v>539.92067822999957</v>
      </c>
    </row>
    <row r="118" spans="1:35" ht="15.75" x14ac:dyDescent="0.25">
      <c r="A118" s="13">
        <v>40909</v>
      </c>
      <c r="B118" s="10">
        <v>9080.7125501199989</v>
      </c>
      <c r="C118" s="10">
        <v>421.07593336000002</v>
      </c>
      <c r="D118" s="10">
        <v>11086.42369263</v>
      </c>
      <c r="E118" s="10">
        <v>4396.7938103300003</v>
      </c>
      <c r="F118" s="10">
        <v>89.03808137</v>
      </c>
      <c r="G118" s="10">
        <v>3253.4636694000001</v>
      </c>
      <c r="H118" s="10">
        <v>641.88928359999989</v>
      </c>
      <c r="I118" s="10">
        <v>434.87012626000001</v>
      </c>
      <c r="J118" s="10">
        <v>104.25020994999998</v>
      </c>
      <c r="K118" s="10">
        <v>350</v>
      </c>
      <c r="L118" s="10">
        <v>350</v>
      </c>
      <c r="M118" s="10">
        <v>764.60820873</v>
      </c>
      <c r="N118" s="10">
        <v>160.78674215000001</v>
      </c>
      <c r="O118" s="10">
        <v>166.63029686000002</v>
      </c>
      <c r="P118" s="10">
        <v>42.552391440000001</v>
      </c>
      <c r="Q118" s="10">
        <v>20.483934559999998</v>
      </c>
      <c r="R118" s="10">
        <v>119.53694231</v>
      </c>
      <c r="S118" s="10" t="s">
        <v>69</v>
      </c>
      <c r="T118" s="10">
        <v>273.34144426000006</v>
      </c>
      <c r="U118" s="10">
        <v>181.57818922000001</v>
      </c>
      <c r="V118" s="10">
        <v>4622.1805502000007</v>
      </c>
      <c r="W118" s="10">
        <v>1215.8057371699999</v>
      </c>
      <c r="X118" s="10">
        <v>25.84176467</v>
      </c>
      <c r="Y118" s="10">
        <v>1.9359999999999998E-5</v>
      </c>
      <c r="Z118" s="10">
        <v>0.93070344000000005</v>
      </c>
      <c r="AA118" s="10">
        <v>232.29665932</v>
      </c>
      <c r="AB118" s="10">
        <v>31.132796029999998</v>
      </c>
      <c r="AC118" s="10">
        <v>6432.7655578099984</v>
      </c>
      <c r="AD118" s="10">
        <v>9690.1885376400005</v>
      </c>
      <c r="AE118" s="10">
        <v>3511.4081118899999</v>
      </c>
      <c r="AF118" s="10">
        <v>1559.38548197</v>
      </c>
      <c r="AG118" s="10">
        <v>267.45567385999999</v>
      </c>
      <c r="AH118" s="10">
        <v>14.897329820000003</v>
      </c>
      <c r="AI118" s="10">
        <v>126.96857663999982</v>
      </c>
    </row>
    <row r="119" spans="1:35" ht="15.75" x14ac:dyDescent="0.25">
      <c r="A119" s="13">
        <v>40940</v>
      </c>
      <c r="B119" s="10">
        <v>8479.0745129200004</v>
      </c>
      <c r="C119" s="10">
        <v>368.59673962999995</v>
      </c>
      <c r="D119" s="10">
        <v>10000.82248653</v>
      </c>
      <c r="E119" s="10">
        <v>3880.3117070200001</v>
      </c>
      <c r="F119" s="10">
        <v>103.96388286</v>
      </c>
      <c r="G119" s="10">
        <v>3209.7716632000001</v>
      </c>
      <c r="H119" s="10">
        <v>610.91054757999984</v>
      </c>
      <c r="I119" s="10">
        <v>373.65393141000004</v>
      </c>
      <c r="J119" s="10">
        <v>95.98731337000001</v>
      </c>
      <c r="K119" s="10">
        <v>150</v>
      </c>
      <c r="L119" s="10">
        <v>150</v>
      </c>
      <c r="M119" s="10">
        <v>962.96167161000005</v>
      </c>
      <c r="N119" s="10">
        <v>429.56674186999999</v>
      </c>
      <c r="O119" s="10">
        <v>518.29104666000012</v>
      </c>
      <c r="P119" s="10">
        <v>92.440471940000009</v>
      </c>
      <c r="Q119" s="10">
        <v>14.147083840000001</v>
      </c>
      <c r="R119" s="10">
        <v>502.22988059999994</v>
      </c>
      <c r="S119" s="10" t="s">
        <v>69</v>
      </c>
      <c r="T119" s="10">
        <v>279.92756938999997</v>
      </c>
      <c r="U119" s="10">
        <v>138.88528845999997</v>
      </c>
      <c r="V119" s="10">
        <v>4164.4089499499996</v>
      </c>
      <c r="W119" s="10">
        <v>1041.18954854</v>
      </c>
      <c r="X119" s="10">
        <v>21.892282249999997</v>
      </c>
      <c r="Y119" s="10">
        <v>1.9349999999999999E-5</v>
      </c>
      <c r="Z119" s="10">
        <v>0.42798386000000005</v>
      </c>
      <c r="AA119" s="10">
        <v>205.15896246</v>
      </c>
      <c r="AB119" s="10">
        <v>17.64388714</v>
      </c>
      <c r="AC119" s="10">
        <v>4864.8987690900003</v>
      </c>
      <c r="AD119" s="10">
        <v>7641.1774579600005</v>
      </c>
      <c r="AE119" s="10">
        <v>2619.3426238700008</v>
      </c>
      <c r="AF119" s="10">
        <v>1128.5303018699999</v>
      </c>
      <c r="AG119" s="10">
        <v>261.00316846999999</v>
      </c>
      <c r="AH119" s="10">
        <v>14.704228220000001</v>
      </c>
      <c r="AI119" s="10">
        <v>-147.46665645999875</v>
      </c>
    </row>
    <row r="120" spans="1:35" ht="15.75" x14ac:dyDescent="0.25">
      <c r="A120" s="13">
        <v>40969</v>
      </c>
      <c r="B120" s="10">
        <v>7389.7</v>
      </c>
      <c r="C120" s="10">
        <v>381.8</v>
      </c>
      <c r="D120" s="10">
        <v>9946.2999999999993</v>
      </c>
      <c r="E120" s="10">
        <v>4025.5</v>
      </c>
      <c r="F120" s="10">
        <v>133.1</v>
      </c>
      <c r="G120" s="10">
        <v>3374.7</v>
      </c>
      <c r="H120" s="10">
        <v>591.03248293000001</v>
      </c>
      <c r="I120" s="10">
        <v>450.53902307999988</v>
      </c>
      <c r="J120" s="10">
        <v>91.603493809999989</v>
      </c>
      <c r="K120" s="10">
        <v>226</v>
      </c>
      <c r="L120" s="10">
        <v>200</v>
      </c>
      <c r="M120" s="10">
        <v>938.05742905</v>
      </c>
      <c r="N120" s="10">
        <v>318.51147319</v>
      </c>
      <c r="O120" s="10">
        <v>458.59603578000002</v>
      </c>
      <c r="P120" s="10">
        <v>81.268195410000004</v>
      </c>
      <c r="Q120" s="10">
        <v>15.360694429999999</v>
      </c>
      <c r="R120" s="10">
        <v>120.3</v>
      </c>
      <c r="S120" s="10" t="s">
        <v>69</v>
      </c>
      <c r="T120" s="10">
        <v>295.03889729000014</v>
      </c>
      <c r="U120" s="10">
        <v>145.90327608000001</v>
      </c>
      <c r="V120" s="10">
        <v>5669</v>
      </c>
      <c r="W120" s="10">
        <v>1117.5018575300001</v>
      </c>
      <c r="X120" s="10">
        <v>22.98765165</v>
      </c>
      <c r="Y120" s="10">
        <v>1.9515399999999999E-2</v>
      </c>
      <c r="Z120" s="10">
        <v>0.67435277999999998</v>
      </c>
      <c r="AA120" s="10">
        <v>220.49806164</v>
      </c>
      <c r="AB120" s="10">
        <v>36.146653449999995</v>
      </c>
      <c r="AC120" s="10">
        <v>5026.6039740400001</v>
      </c>
      <c r="AD120" s="10">
        <v>7729.570567929999</v>
      </c>
      <c r="AE120" s="10">
        <v>2657.4060525199993</v>
      </c>
      <c r="AF120" s="10">
        <v>1195.91128381</v>
      </c>
      <c r="AG120" s="10">
        <v>294.26903447999996</v>
      </c>
      <c r="AH120" s="10">
        <v>15.649674259999998</v>
      </c>
      <c r="AI120" s="10">
        <v>422.56878110000008</v>
      </c>
    </row>
    <row r="121" spans="1:35" ht="15.75" x14ac:dyDescent="0.25">
      <c r="A121" s="13">
        <v>41000</v>
      </c>
      <c r="B121" s="10">
        <v>7109.4886769300001</v>
      </c>
      <c r="C121" s="10">
        <v>358.22093206000005</v>
      </c>
      <c r="D121" s="10">
        <v>10420.139993320001</v>
      </c>
      <c r="E121" s="10">
        <v>3596.0505119700001</v>
      </c>
      <c r="F121" s="10">
        <v>96.847843250000011</v>
      </c>
      <c r="G121" s="10">
        <v>3167.3860539699999</v>
      </c>
      <c r="H121" s="10">
        <v>632.12609936000001</v>
      </c>
      <c r="I121" s="10">
        <v>458.38358693999999</v>
      </c>
      <c r="J121" s="10">
        <v>103.06679134999999</v>
      </c>
      <c r="K121" s="10">
        <v>120</v>
      </c>
      <c r="L121" s="10">
        <v>0</v>
      </c>
      <c r="M121" s="10">
        <v>865.60615182000004</v>
      </c>
      <c r="N121" s="10">
        <v>430.47105297000002</v>
      </c>
      <c r="O121" s="10">
        <v>634.98375776</v>
      </c>
      <c r="P121" s="10">
        <v>94.826500150000001</v>
      </c>
      <c r="Q121" s="10">
        <v>14.328194450000002</v>
      </c>
      <c r="R121" s="10">
        <v>330.28709158999999</v>
      </c>
      <c r="S121" s="10" t="s">
        <v>69</v>
      </c>
      <c r="T121" s="10">
        <v>282.40076402999995</v>
      </c>
      <c r="U121" s="10">
        <v>161.18944199999999</v>
      </c>
      <c r="V121" s="10">
        <v>7024.3506762199995</v>
      </c>
      <c r="W121" s="10">
        <v>845.05718148999995</v>
      </c>
      <c r="X121" s="10">
        <v>19.54369501</v>
      </c>
      <c r="Y121" s="10">
        <v>1.8102999999999997E-3</v>
      </c>
      <c r="Z121" s="10">
        <v>0.68571468999999974</v>
      </c>
      <c r="AA121" s="10">
        <v>193.47303296000001</v>
      </c>
      <c r="AB121" s="10">
        <v>24.069493230000003</v>
      </c>
      <c r="AC121" s="10">
        <v>5082.5442831299997</v>
      </c>
      <c r="AD121" s="10">
        <v>8043.1850021399987</v>
      </c>
      <c r="AE121" s="10">
        <v>2629.0437385700006</v>
      </c>
      <c r="AF121" s="10">
        <v>1119.6333341699999</v>
      </c>
      <c r="AG121" s="10">
        <v>240.60168868000005</v>
      </c>
      <c r="AH121" s="10">
        <v>20.395990410000003</v>
      </c>
      <c r="AI121" s="10">
        <v>-403.82885921999946</v>
      </c>
    </row>
    <row r="122" spans="1:35" ht="15.75" x14ac:dyDescent="0.25">
      <c r="A122" s="13">
        <v>41030</v>
      </c>
      <c r="B122" s="10">
        <v>14404.252147839999</v>
      </c>
      <c r="C122" s="10">
        <v>479.10698388000003</v>
      </c>
      <c r="D122" s="10">
        <v>11119.990232900002</v>
      </c>
      <c r="E122" s="10">
        <v>4679.4648164500004</v>
      </c>
      <c r="F122" s="10">
        <v>131.68202436999999</v>
      </c>
      <c r="G122" s="10">
        <v>3665.4408687800001</v>
      </c>
      <c r="H122" s="10">
        <v>568.73006131</v>
      </c>
      <c r="I122" s="10">
        <v>380.45487537999998</v>
      </c>
      <c r="J122" s="10">
        <v>87.149864169999987</v>
      </c>
      <c r="K122" s="10">
        <v>0</v>
      </c>
      <c r="L122" s="10">
        <v>0</v>
      </c>
      <c r="M122" s="10">
        <v>792.30953088000001</v>
      </c>
      <c r="N122" s="10">
        <v>499.33850795000001</v>
      </c>
      <c r="O122" s="10">
        <v>479.60181904000007</v>
      </c>
      <c r="P122" s="10">
        <v>86.296266339999988</v>
      </c>
      <c r="Q122" s="10">
        <v>14.22388729</v>
      </c>
      <c r="R122" s="10">
        <v>2048.5759462399997</v>
      </c>
      <c r="S122" s="10" t="s">
        <v>69</v>
      </c>
      <c r="T122" s="10">
        <v>318.64095756</v>
      </c>
      <c r="U122" s="10">
        <v>191.17961631</v>
      </c>
      <c r="V122" s="10">
        <v>5767.63762967</v>
      </c>
      <c r="W122" s="10">
        <v>1172.1827876100003</v>
      </c>
      <c r="X122" s="10">
        <v>25.903167220000004</v>
      </c>
      <c r="Y122" s="10">
        <v>3.6716E-4</v>
      </c>
      <c r="Z122" s="10">
        <v>1.0244680099999999</v>
      </c>
      <c r="AA122" s="10">
        <v>263.20660330999999</v>
      </c>
      <c r="AB122" s="10">
        <v>24.474207070000002</v>
      </c>
      <c r="AC122" s="10">
        <v>5407.4602857500013</v>
      </c>
      <c r="AD122" s="10">
        <v>8243.41644662</v>
      </c>
      <c r="AE122" s="10">
        <v>2740.5807267</v>
      </c>
      <c r="AF122" s="10">
        <v>1233.2074968600002</v>
      </c>
      <c r="AG122" s="10">
        <v>310.97682863999995</v>
      </c>
      <c r="AH122" s="10">
        <v>25.160054399999993</v>
      </c>
      <c r="AI122" s="10">
        <v>562.07435782999983</v>
      </c>
    </row>
    <row r="123" spans="1:35" ht="15.75" x14ac:dyDescent="0.25">
      <c r="A123" s="13">
        <v>41061</v>
      </c>
      <c r="B123" s="10">
        <v>15557.078597719999</v>
      </c>
      <c r="C123" s="10">
        <v>477.46978038999998</v>
      </c>
      <c r="D123" s="10">
        <v>11027.256220219999</v>
      </c>
      <c r="E123" s="10">
        <v>4539.6740539100001</v>
      </c>
      <c r="F123" s="10">
        <v>103.61217492</v>
      </c>
      <c r="G123" s="10">
        <v>3753.0691530099994</v>
      </c>
      <c r="H123" s="10">
        <v>586.72359941000013</v>
      </c>
      <c r="I123" s="10">
        <v>410.59680990000004</v>
      </c>
      <c r="J123" s="10">
        <v>96.791872009999977</v>
      </c>
      <c r="K123" s="10">
        <v>175.62299999999999</v>
      </c>
      <c r="L123" s="10">
        <v>227</v>
      </c>
      <c r="M123" s="10">
        <v>746.91043284</v>
      </c>
      <c r="N123" s="10">
        <v>359.58950916999999</v>
      </c>
      <c r="O123" s="10">
        <v>495.36054494999996</v>
      </c>
      <c r="P123" s="10">
        <v>84.074192049999994</v>
      </c>
      <c r="Q123" s="10">
        <v>14.450314400000002</v>
      </c>
      <c r="R123" s="10">
        <v>926.76339622</v>
      </c>
      <c r="S123" s="10" t="s">
        <v>69</v>
      </c>
      <c r="T123" s="10">
        <v>319.56768856999992</v>
      </c>
      <c r="U123" s="10">
        <v>209.46636894</v>
      </c>
      <c r="V123" s="10">
        <v>4161.8638909700003</v>
      </c>
      <c r="W123" s="10">
        <v>1245.2198609200002</v>
      </c>
      <c r="X123" s="10">
        <v>25.477204980000003</v>
      </c>
      <c r="Y123" s="10">
        <v>1.350524E-2</v>
      </c>
      <c r="Z123" s="10">
        <v>0.71416062000000013</v>
      </c>
      <c r="AA123" s="10">
        <v>263.25677999000004</v>
      </c>
      <c r="AB123" s="10">
        <v>23.214270829999997</v>
      </c>
      <c r="AC123" s="10">
        <v>5380.6403482200021</v>
      </c>
      <c r="AD123" s="10">
        <v>8256.3185480200009</v>
      </c>
      <c r="AE123" s="10">
        <v>2796.8287179399999</v>
      </c>
      <c r="AF123" s="10">
        <v>1231.2105098799998</v>
      </c>
      <c r="AG123" s="10">
        <v>280.78558071999998</v>
      </c>
      <c r="AH123" s="10">
        <v>17.98021039</v>
      </c>
      <c r="AI123" s="10">
        <v>441.97715765000089</v>
      </c>
    </row>
    <row r="124" spans="1:35" ht="15.75" x14ac:dyDescent="0.25">
      <c r="A124" s="13">
        <v>41091</v>
      </c>
      <c r="B124" s="10">
        <v>10473.984258959999</v>
      </c>
      <c r="C124" s="10">
        <v>512.17191257000002</v>
      </c>
      <c r="D124" s="10">
        <v>10750.101563209999</v>
      </c>
      <c r="E124" s="10">
        <v>5300.6897519699996</v>
      </c>
      <c r="F124" s="10">
        <v>112.37545100999999</v>
      </c>
      <c r="G124" s="10">
        <v>3589.3843567200001</v>
      </c>
      <c r="H124" s="10">
        <v>623.66641741000001</v>
      </c>
      <c r="I124" s="10">
        <v>374.42709197999994</v>
      </c>
      <c r="J124" s="10">
        <v>98.509861269999973</v>
      </c>
      <c r="K124" s="10">
        <v>511</v>
      </c>
      <c r="L124" s="10">
        <v>250</v>
      </c>
      <c r="M124" s="10">
        <v>1092.5418886099999</v>
      </c>
      <c r="N124" s="10">
        <v>554.24262278000003</v>
      </c>
      <c r="O124" s="10">
        <v>720.46673927000006</v>
      </c>
      <c r="P124" s="10">
        <v>97.79319722999999</v>
      </c>
      <c r="Q124" s="10">
        <v>15.000199719999999</v>
      </c>
      <c r="R124" s="10">
        <v>488.31621019000005</v>
      </c>
      <c r="S124" s="10" t="s">
        <v>69</v>
      </c>
      <c r="T124" s="10">
        <v>334.24478108000005</v>
      </c>
      <c r="U124" s="10">
        <v>173.77486891000001</v>
      </c>
      <c r="V124" s="10">
        <v>6722.9264910900001</v>
      </c>
      <c r="W124" s="10">
        <v>1290.6886387599998</v>
      </c>
      <c r="X124" s="10">
        <v>28.637681649999998</v>
      </c>
      <c r="Y124" s="10">
        <v>1.3984299999999998E-3</v>
      </c>
      <c r="Z124" s="10">
        <v>0.83815247000000004</v>
      </c>
      <c r="AA124" s="10">
        <v>281.00224939000003</v>
      </c>
      <c r="AB124" s="10">
        <v>34.437979800000001</v>
      </c>
      <c r="AC124" s="10">
        <v>7389.5980177699985</v>
      </c>
      <c r="AD124" s="10">
        <v>11077.579392640006</v>
      </c>
      <c r="AE124" s="10">
        <v>4020.7640224200004</v>
      </c>
      <c r="AF124" s="10">
        <v>1735.6375410400003</v>
      </c>
      <c r="AG124" s="10">
        <v>368.66216995000008</v>
      </c>
      <c r="AH124" s="10">
        <v>21.352753280000009</v>
      </c>
      <c r="AI124" s="10">
        <v>68.568732610000737</v>
      </c>
    </row>
    <row r="125" spans="1:35" ht="15.75" x14ac:dyDescent="0.25">
      <c r="A125" s="13">
        <v>41122</v>
      </c>
      <c r="B125" s="10">
        <v>11728.259153609999</v>
      </c>
      <c r="C125" s="10">
        <v>516.06779305000009</v>
      </c>
      <c r="D125" s="10">
        <v>11812.643699849999</v>
      </c>
      <c r="E125" s="10">
        <v>5100.7216770200002</v>
      </c>
      <c r="F125" s="10">
        <v>124.93858801</v>
      </c>
      <c r="G125" s="10">
        <v>3882.25297963</v>
      </c>
      <c r="H125" s="10">
        <v>603.91242305000003</v>
      </c>
      <c r="I125" s="10">
        <v>525.72133896000003</v>
      </c>
      <c r="J125" s="10">
        <v>89.591382840000009</v>
      </c>
      <c r="K125" s="10">
        <v>3</v>
      </c>
      <c r="L125" s="10">
        <v>0</v>
      </c>
      <c r="M125" s="10">
        <v>1004.21378066</v>
      </c>
      <c r="N125" s="10">
        <v>519.20184511000002</v>
      </c>
      <c r="O125" s="10">
        <v>690.93367698000009</v>
      </c>
      <c r="P125" s="10">
        <v>101.09055307999999</v>
      </c>
      <c r="Q125" s="10">
        <v>15.574781060000001</v>
      </c>
      <c r="R125" s="10">
        <v>790.02731887000004</v>
      </c>
      <c r="S125" s="10" t="s">
        <v>69</v>
      </c>
      <c r="T125" s="10">
        <v>340.80452289999999</v>
      </c>
      <c r="U125" s="10">
        <v>193.12170180999996</v>
      </c>
      <c r="V125" s="10">
        <v>5965.6018006499999</v>
      </c>
      <c r="W125" s="10">
        <v>1670.5491855599998</v>
      </c>
      <c r="X125" s="10">
        <v>31.89593021</v>
      </c>
      <c r="Y125" s="10">
        <v>2.5409999999999999E-5</v>
      </c>
      <c r="Z125" s="10">
        <v>2.0223050700000003</v>
      </c>
      <c r="AA125" s="10">
        <v>306.68341645000004</v>
      </c>
      <c r="AB125" s="10">
        <v>31.265755420000001</v>
      </c>
      <c r="AC125" s="10">
        <v>5738.6276549700015</v>
      </c>
      <c r="AD125" s="10">
        <v>8733.5651884899999</v>
      </c>
      <c r="AE125" s="10">
        <v>2980.3503146500011</v>
      </c>
      <c r="AF125" s="10">
        <v>1382.33300386</v>
      </c>
      <c r="AG125" s="10">
        <v>385.48217305999998</v>
      </c>
      <c r="AH125" s="10">
        <v>17.014936729999999</v>
      </c>
      <c r="AI125" s="10">
        <v>286.20900047000009</v>
      </c>
    </row>
    <row r="126" spans="1:35" ht="15.75" x14ac:dyDescent="0.25">
      <c r="A126" s="13">
        <v>41153</v>
      </c>
      <c r="B126" s="10">
        <v>10157.98260992</v>
      </c>
      <c r="C126" s="10">
        <v>674.27090113000008</v>
      </c>
      <c r="D126" s="10">
        <v>11448.439429030001</v>
      </c>
      <c r="E126" s="10">
        <v>5348.2167333800007</v>
      </c>
      <c r="F126" s="10">
        <v>122.7397206</v>
      </c>
      <c r="G126" s="10">
        <v>3919.5359278700003</v>
      </c>
      <c r="H126" s="10">
        <v>671.50724418999994</v>
      </c>
      <c r="I126" s="10">
        <v>477.42267907000002</v>
      </c>
      <c r="J126" s="10">
        <v>106.46469313</v>
      </c>
      <c r="K126" s="10">
        <v>9.1999999999999993</v>
      </c>
      <c r="L126" s="10">
        <v>0</v>
      </c>
      <c r="M126" s="10">
        <v>1005.33256639</v>
      </c>
      <c r="N126" s="10">
        <v>587.47258450000004</v>
      </c>
      <c r="O126" s="10">
        <v>651.38516551999999</v>
      </c>
      <c r="P126" s="10">
        <v>101.25562124999999</v>
      </c>
      <c r="Q126" s="10">
        <v>16.321753529999999</v>
      </c>
      <c r="R126" s="10">
        <v>220.01936316999999</v>
      </c>
      <c r="S126" s="10" t="s">
        <v>69</v>
      </c>
      <c r="T126" s="10">
        <v>323.91969611000002</v>
      </c>
      <c r="U126" s="10">
        <v>176.45248384999999</v>
      </c>
      <c r="V126" s="10">
        <v>5204.8252636999996</v>
      </c>
      <c r="W126" s="10">
        <v>1567.5309723200003</v>
      </c>
      <c r="X126" s="10">
        <v>28.604914409999999</v>
      </c>
      <c r="Y126" s="10">
        <v>-1.04758697</v>
      </c>
      <c r="Z126" s="10">
        <v>0.72644872000000005</v>
      </c>
      <c r="AA126" s="10">
        <v>266.98822114000001</v>
      </c>
      <c r="AB126" s="10">
        <v>27.770202320000003</v>
      </c>
      <c r="AC126" s="10">
        <v>5812.6933110800001</v>
      </c>
      <c r="AD126" s="10">
        <v>8725.1937503400022</v>
      </c>
      <c r="AE126" s="10">
        <v>2881.4593721699994</v>
      </c>
      <c r="AF126" s="10">
        <v>1307.4986312400001</v>
      </c>
      <c r="AG126" s="10">
        <v>373.06308959</v>
      </c>
      <c r="AH126" s="10">
        <v>12.446885570000003</v>
      </c>
      <c r="AI126" s="10">
        <v>122.14604339999946</v>
      </c>
    </row>
    <row r="127" spans="1:35" ht="15.75" x14ac:dyDescent="0.25">
      <c r="A127" s="13">
        <v>41183</v>
      </c>
      <c r="B127" s="10">
        <v>11535.8</v>
      </c>
      <c r="C127" s="10">
        <v>954</v>
      </c>
      <c r="D127" s="10">
        <v>11109.2</v>
      </c>
      <c r="E127" s="10">
        <v>6449.1</v>
      </c>
      <c r="F127" s="10">
        <v>125</v>
      </c>
      <c r="G127" s="10">
        <v>3671.5</v>
      </c>
      <c r="H127" s="10">
        <v>650.55564673000003</v>
      </c>
      <c r="I127" s="10">
        <v>513.88251099000013</v>
      </c>
      <c r="J127" s="10">
        <v>96.853230909999994</v>
      </c>
      <c r="K127" s="10">
        <v>1</v>
      </c>
      <c r="L127" s="10">
        <v>0</v>
      </c>
      <c r="M127" s="10">
        <v>947.41932437000003</v>
      </c>
      <c r="N127" s="10">
        <v>481.88558903000001</v>
      </c>
      <c r="O127" s="10">
        <v>634.44439189000002</v>
      </c>
      <c r="P127" s="10">
        <v>96.33277283000001</v>
      </c>
      <c r="Q127" s="10">
        <v>16.440038990000001</v>
      </c>
      <c r="R127" s="10">
        <v>774.2</v>
      </c>
      <c r="S127" s="10" t="s">
        <v>69</v>
      </c>
      <c r="T127" s="10">
        <v>365.86900488000003</v>
      </c>
      <c r="U127" s="10">
        <v>172.70840053000001</v>
      </c>
      <c r="V127" s="10">
        <v>4496.8</v>
      </c>
      <c r="W127" s="10">
        <v>1744.1024880500006</v>
      </c>
      <c r="X127" s="10">
        <v>34.041755210000005</v>
      </c>
      <c r="Y127" s="10">
        <v>8.1058899999999989E-2</v>
      </c>
      <c r="Z127" s="10">
        <v>0.66437658000000011</v>
      </c>
      <c r="AA127" s="10">
        <v>306.50534672000003</v>
      </c>
      <c r="AB127" s="10">
        <v>32.059698050000002</v>
      </c>
      <c r="AC127" s="10">
        <v>6025.690417509999</v>
      </c>
      <c r="AD127" s="10">
        <v>9021.2392164000012</v>
      </c>
      <c r="AE127" s="10">
        <v>3032.1720261600003</v>
      </c>
      <c r="AF127" s="10">
        <v>1397.47415652</v>
      </c>
      <c r="AG127" s="10">
        <v>412.42783635000006</v>
      </c>
      <c r="AH127" s="10">
        <v>13.06905137</v>
      </c>
      <c r="AI127" s="10">
        <v>-32.587196719999959</v>
      </c>
    </row>
    <row r="128" spans="1:35" ht="15.75" x14ac:dyDescent="0.25">
      <c r="A128" s="13">
        <v>41214</v>
      </c>
      <c r="B128" s="10">
        <v>12925.33533491</v>
      </c>
      <c r="C128" s="10">
        <v>852.79148033000001</v>
      </c>
      <c r="D128" s="10">
        <v>12638.50921977</v>
      </c>
      <c r="E128" s="10">
        <v>5713.2005264899999</v>
      </c>
      <c r="F128" s="10">
        <v>157.71676065000003</v>
      </c>
      <c r="G128" s="10">
        <v>4106.5419584600004</v>
      </c>
      <c r="H128" s="10">
        <v>655.03308273999994</v>
      </c>
      <c r="I128" s="10">
        <v>554.53608110000005</v>
      </c>
      <c r="J128" s="10">
        <v>104.37809990999999</v>
      </c>
      <c r="K128" s="10">
        <v>535</v>
      </c>
      <c r="L128" s="10">
        <v>530</v>
      </c>
      <c r="M128" s="10">
        <v>958.30429098000002</v>
      </c>
      <c r="N128" s="10">
        <v>526.81137380999996</v>
      </c>
      <c r="O128" s="10">
        <v>648.62712275000001</v>
      </c>
      <c r="P128" s="10">
        <v>99.172218860000015</v>
      </c>
      <c r="Q128" s="10">
        <v>16.59548672</v>
      </c>
      <c r="R128" s="10">
        <v>200.79066057</v>
      </c>
      <c r="S128" s="10" t="s">
        <v>69</v>
      </c>
      <c r="T128" s="10">
        <v>344.4689965500001</v>
      </c>
      <c r="U128" s="10">
        <v>197.21555283000001</v>
      </c>
      <c r="V128" s="10">
        <v>4278.8560374799999</v>
      </c>
      <c r="W128" s="10">
        <v>1716.3920900999999</v>
      </c>
      <c r="X128" s="10">
        <v>31.302779349999994</v>
      </c>
      <c r="Y128" s="10">
        <v>0.67312100999999991</v>
      </c>
      <c r="Z128" s="10">
        <v>0.73298040999999992</v>
      </c>
      <c r="AA128" s="10">
        <v>281.17513216999998</v>
      </c>
      <c r="AB128" s="10">
        <v>38.043687869999992</v>
      </c>
      <c r="AC128" s="10">
        <v>6156.4565453899995</v>
      </c>
      <c r="AD128" s="10">
        <v>9226.6689376400009</v>
      </c>
      <c r="AE128" s="10">
        <v>3042.5776501300002</v>
      </c>
      <c r="AF128" s="10">
        <v>1375.9602198299997</v>
      </c>
      <c r="AG128" s="10">
        <v>385.31910270999987</v>
      </c>
      <c r="AH128" s="10">
        <v>13.969441549999997</v>
      </c>
      <c r="AI128" s="10">
        <v>-335.64891357000022</v>
      </c>
    </row>
    <row r="129" spans="1:35" ht="15.75" x14ac:dyDescent="0.25">
      <c r="A129" s="13">
        <v>41244</v>
      </c>
      <c r="B129" s="10">
        <v>12756</v>
      </c>
      <c r="C129" s="10">
        <v>846.4</v>
      </c>
      <c r="D129" s="10">
        <v>12456.5</v>
      </c>
      <c r="E129" s="10">
        <v>6221.2</v>
      </c>
      <c r="F129" s="10">
        <v>142</v>
      </c>
      <c r="G129" s="10">
        <v>4338.1000000000004</v>
      </c>
      <c r="H129" s="10">
        <v>676.45419259000005</v>
      </c>
      <c r="I129" s="10">
        <v>565.22509430000002</v>
      </c>
      <c r="J129" s="10">
        <v>122.38835742999999</v>
      </c>
      <c r="K129" s="10">
        <v>490</v>
      </c>
      <c r="L129" s="10">
        <v>280</v>
      </c>
      <c r="M129" s="10">
        <v>1271.30069224</v>
      </c>
      <c r="N129" s="10">
        <v>922.15232234999996</v>
      </c>
      <c r="O129" s="10">
        <v>1210.7076890399999</v>
      </c>
      <c r="P129" s="10">
        <v>170.32690478999996</v>
      </c>
      <c r="Q129" s="10">
        <v>15.426540430000001</v>
      </c>
      <c r="R129" s="10">
        <v>741.7</v>
      </c>
      <c r="S129" s="10" t="s">
        <v>69</v>
      </c>
      <c r="T129" s="10">
        <v>346.88315964999998</v>
      </c>
      <c r="U129" s="10">
        <v>188.53761380000003</v>
      </c>
      <c r="V129" s="10">
        <v>3237.4</v>
      </c>
      <c r="W129" s="10">
        <v>1686.3857714399999</v>
      </c>
      <c r="X129" s="10">
        <v>31.262996259999998</v>
      </c>
      <c r="Y129" s="10">
        <v>2.0812099999999996E-3</v>
      </c>
      <c r="Z129" s="10">
        <v>0.31837266999999997</v>
      </c>
      <c r="AA129" s="10">
        <v>278.05961616999997</v>
      </c>
      <c r="AB129" s="10">
        <v>27.714565399999998</v>
      </c>
      <c r="AC129" s="10">
        <v>6225.7073163400009</v>
      </c>
      <c r="AD129" s="10">
        <v>9323.1762070700006</v>
      </c>
      <c r="AE129" s="10">
        <v>3089.0785282099991</v>
      </c>
      <c r="AF129" s="10">
        <v>1559.1071249699999</v>
      </c>
      <c r="AG129" s="10">
        <v>377.01133600999987</v>
      </c>
      <c r="AH129" s="10">
        <v>14.443318860000002</v>
      </c>
      <c r="AI129" s="10">
        <v>-177.32191955000039</v>
      </c>
    </row>
    <row r="130" spans="1:35" ht="15.75" x14ac:dyDescent="0.25">
      <c r="A130" s="13">
        <v>41275</v>
      </c>
      <c r="B130" s="10">
        <v>11647</v>
      </c>
      <c r="C130" s="10">
        <v>859.8</v>
      </c>
      <c r="D130" s="10">
        <v>13317</v>
      </c>
      <c r="E130" s="10">
        <v>5853.7</v>
      </c>
      <c r="F130" s="10">
        <v>107.4</v>
      </c>
      <c r="G130" s="10">
        <v>4130.7</v>
      </c>
      <c r="H130" s="10">
        <v>703.90677800000003</v>
      </c>
      <c r="I130" s="10">
        <v>627.31191899999999</v>
      </c>
      <c r="J130" s="10">
        <v>104.348986</v>
      </c>
      <c r="K130" s="10">
        <v>43</v>
      </c>
      <c r="L130" s="10">
        <v>100</v>
      </c>
      <c r="M130" s="10">
        <v>889.95452370999999</v>
      </c>
      <c r="N130" s="10">
        <v>220.51696419999999</v>
      </c>
      <c r="O130" s="10">
        <v>219.947451</v>
      </c>
      <c r="P130" s="10">
        <v>52.399855100000003</v>
      </c>
      <c r="Q130" s="10">
        <v>15.529627400000001</v>
      </c>
      <c r="R130" s="10">
        <v>165.8</v>
      </c>
      <c r="S130" s="10" t="s">
        <v>69</v>
      </c>
      <c r="T130" s="10">
        <v>352.38210900000001</v>
      </c>
      <c r="U130" s="10">
        <v>208.870767</v>
      </c>
      <c r="V130" s="10">
        <v>2974.2</v>
      </c>
      <c r="W130" s="10">
        <v>1739.0634299999999</v>
      </c>
      <c r="X130" s="10">
        <v>31.321916900000002</v>
      </c>
      <c r="Y130" s="10">
        <v>1.088005E-2</v>
      </c>
      <c r="Z130" s="10">
        <v>1.0703810899999999</v>
      </c>
      <c r="AA130" s="10">
        <v>272.50543199999998</v>
      </c>
      <c r="AB130" s="10">
        <v>30.092414399999999</v>
      </c>
      <c r="AC130" s="10">
        <v>8487.1918020800022</v>
      </c>
      <c r="AD130" s="10">
        <v>12556.76732639</v>
      </c>
      <c r="AE130" s="10">
        <v>4548.9392099999995</v>
      </c>
      <c r="AF130" s="10">
        <v>2261.4250400000001</v>
      </c>
      <c r="AG130" s="10">
        <v>429.64242899999999</v>
      </c>
      <c r="AH130" s="10">
        <v>14.6587455</v>
      </c>
      <c r="AI130" s="10">
        <v>172.855839</v>
      </c>
    </row>
    <row r="131" spans="1:35" ht="15.75" x14ac:dyDescent="0.25">
      <c r="A131" s="13">
        <v>41306</v>
      </c>
      <c r="B131" s="10">
        <v>11871.469950640001</v>
      </c>
      <c r="C131" s="10">
        <v>883.91585126999996</v>
      </c>
      <c r="D131" s="10">
        <v>12709.901901589998</v>
      </c>
      <c r="E131" s="10">
        <v>5881.8718994199999</v>
      </c>
      <c r="F131" s="10">
        <v>111.91396411999999</v>
      </c>
      <c r="G131" s="10">
        <v>3998.7550841100001</v>
      </c>
      <c r="H131" s="10">
        <v>722.46766400000001</v>
      </c>
      <c r="I131" s="10">
        <v>568.22646699999996</v>
      </c>
      <c r="J131" s="10">
        <v>116.964213</v>
      </c>
      <c r="K131" s="10">
        <v>357</v>
      </c>
      <c r="L131" s="10">
        <v>285</v>
      </c>
      <c r="M131" s="10">
        <v>1151.55133675</v>
      </c>
      <c r="N131" s="10">
        <v>514.67905915999995</v>
      </c>
      <c r="O131" s="10">
        <v>665.81839300000001</v>
      </c>
      <c r="P131" s="10">
        <v>117.735686</v>
      </c>
      <c r="Q131" s="10">
        <v>15.978343799999999</v>
      </c>
      <c r="R131" s="10">
        <v>650.60771721000003</v>
      </c>
      <c r="S131" s="10" t="s">
        <v>69</v>
      </c>
      <c r="T131" s="10">
        <v>359.56102800000002</v>
      </c>
      <c r="U131" s="10">
        <v>165.916326</v>
      </c>
      <c r="V131" s="10">
        <v>2813.1595913300002</v>
      </c>
      <c r="W131" s="10">
        <v>1644.6451300000001</v>
      </c>
      <c r="X131" s="10">
        <v>28.927891800000001</v>
      </c>
      <c r="Y131" s="10">
        <v>1.5985999999999999E-3</v>
      </c>
      <c r="Z131" s="10">
        <v>0.35725544999999997</v>
      </c>
      <c r="AA131" s="10">
        <v>269.351653</v>
      </c>
      <c r="AB131" s="10">
        <v>23.652893200000001</v>
      </c>
      <c r="AC131" s="10">
        <v>6441.9239960799996</v>
      </c>
      <c r="AD131" s="10">
        <v>10038.384097900002</v>
      </c>
      <c r="AE131" s="10">
        <v>3381.4233599999998</v>
      </c>
      <c r="AF131" s="10">
        <v>1703.3694499999999</v>
      </c>
      <c r="AG131" s="10">
        <v>354.24324200000001</v>
      </c>
      <c r="AH131" s="10">
        <v>14.861376099999999</v>
      </c>
      <c r="AI131" s="10">
        <v>293.47251799999998</v>
      </c>
    </row>
    <row r="132" spans="1:35" ht="15.75" x14ac:dyDescent="0.25">
      <c r="A132" s="13">
        <v>41334</v>
      </c>
      <c r="B132" s="10">
        <v>10863.6</v>
      </c>
      <c r="C132" s="10">
        <v>824.8</v>
      </c>
      <c r="D132" s="10">
        <v>13130</v>
      </c>
      <c r="E132" s="10">
        <v>5490.3</v>
      </c>
      <c r="F132" s="10">
        <v>172.6</v>
      </c>
      <c r="G132" s="10">
        <v>4068.1</v>
      </c>
      <c r="H132" s="10">
        <v>746.79956800000002</v>
      </c>
      <c r="I132" s="10">
        <v>534.27228300000002</v>
      </c>
      <c r="J132" s="10">
        <v>106.65487299999999</v>
      </c>
      <c r="K132" s="10">
        <v>262</v>
      </c>
      <c r="L132" s="10">
        <v>250</v>
      </c>
      <c r="M132" s="10">
        <v>984.48592775999998</v>
      </c>
      <c r="N132" s="10">
        <v>295.22052079999997</v>
      </c>
      <c r="O132" s="10">
        <v>550.31129099999998</v>
      </c>
      <c r="P132" s="10">
        <v>104.991483</v>
      </c>
      <c r="Q132" s="10">
        <v>14.0559972</v>
      </c>
      <c r="R132" s="10">
        <v>178.2</v>
      </c>
      <c r="S132" s="10" t="s">
        <v>69</v>
      </c>
      <c r="T132" s="10">
        <v>367.256958</v>
      </c>
      <c r="U132" s="10">
        <v>192.61524199999999</v>
      </c>
      <c r="V132" s="10">
        <v>3995.3</v>
      </c>
      <c r="W132" s="10">
        <v>1622.9078</v>
      </c>
      <c r="X132" s="10">
        <v>29.811191099999998</v>
      </c>
      <c r="Y132" s="10">
        <v>2.3395079999999999E-2</v>
      </c>
      <c r="Z132" s="10">
        <v>0.94459886000000004</v>
      </c>
      <c r="AA132" s="10">
        <v>276.26576399999999</v>
      </c>
      <c r="AB132" s="10">
        <v>29.732520099999999</v>
      </c>
      <c r="AC132" s="10">
        <v>6653.4641736499989</v>
      </c>
      <c r="AD132" s="10">
        <v>10140.411815630006</v>
      </c>
      <c r="AE132" s="10">
        <v>3395.1602600000001</v>
      </c>
      <c r="AF132" s="10">
        <v>1703.19274</v>
      </c>
      <c r="AG132" s="10">
        <v>406.95637699999997</v>
      </c>
      <c r="AH132" s="10">
        <v>15.0885707</v>
      </c>
      <c r="AI132" s="10">
        <v>-245.31605500000001</v>
      </c>
    </row>
    <row r="133" spans="1:35" ht="15.75" x14ac:dyDescent="0.25">
      <c r="A133" s="13">
        <v>41365</v>
      </c>
      <c r="B133" s="10">
        <v>9989.4</v>
      </c>
      <c r="C133" s="10">
        <v>1056.2</v>
      </c>
      <c r="D133" s="10">
        <v>11832.6</v>
      </c>
      <c r="E133" s="10">
        <v>7048.6</v>
      </c>
      <c r="F133" s="10">
        <v>116</v>
      </c>
      <c r="G133" s="10">
        <v>4029.6</v>
      </c>
      <c r="H133" s="10">
        <v>730.83692499999995</v>
      </c>
      <c r="I133" s="10">
        <v>569.12780099999998</v>
      </c>
      <c r="J133" s="10">
        <v>112.380779</v>
      </c>
      <c r="K133" s="10">
        <v>372</v>
      </c>
      <c r="L133" s="10">
        <v>400</v>
      </c>
      <c r="M133" s="10">
        <v>1162.60107361</v>
      </c>
      <c r="N133" s="10">
        <v>604.61347589000002</v>
      </c>
      <c r="O133" s="10">
        <v>788.65865499999995</v>
      </c>
      <c r="P133" s="10">
        <v>128.22242399999999</v>
      </c>
      <c r="Q133" s="10">
        <v>15.112856000000001</v>
      </c>
      <c r="R133" s="10">
        <v>555.70000000000005</v>
      </c>
      <c r="S133" s="10" t="s">
        <v>69</v>
      </c>
      <c r="T133" s="10">
        <v>367.22337900000002</v>
      </c>
      <c r="U133" s="10">
        <v>176.50940600000001</v>
      </c>
      <c r="V133" s="10">
        <v>8809.2999999999993</v>
      </c>
      <c r="W133" s="10">
        <v>1817.8432700000001</v>
      </c>
      <c r="X133" s="10">
        <v>33.531059499999998</v>
      </c>
      <c r="Y133" s="10">
        <v>7.6291600000000003E-3</v>
      </c>
      <c r="Z133" s="10">
        <v>0.25715985000000002</v>
      </c>
      <c r="AA133" s="10">
        <v>355.81211100000002</v>
      </c>
      <c r="AB133" s="10">
        <v>30.868054600000001</v>
      </c>
      <c r="AC133" s="10">
        <v>7259.8157417499988</v>
      </c>
      <c r="AD133" s="10">
        <v>11106.813851130002</v>
      </c>
      <c r="AE133" s="10">
        <v>3523.0543699999998</v>
      </c>
      <c r="AF133" s="10">
        <v>1765.35942</v>
      </c>
      <c r="AG133" s="10">
        <v>404.75724600000001</v>
      </c>
      <c r="AH133" s="10">
        <v>15.0415443</v>
      </c>
      <c r="AI133" s="10">
        <v>-115.20369599999999</v>
      </c>
    </row>
    <row r="134" spans="1:35" ht="15.75" x14ac:dyDescent="0.25">
      <c r="A134" s="13">
        <v>41395</v>
      </c>
      <c r="B134" s="10">
        <v>20080.945250800003</v>
      </c>
      <c r="C134" s="10">
        <v>1020.7684004600001</v>
      </c>
      <c r="D134" s="10">
        <v>13826.66711332</v>
      </c>
      <c r="E134" s="10">
        <v>6847.1830529599993</v>
      </c>
      <c r="F134" s="10">
        <v>240.23342655000002</v>
      </c>
      <c r="G134" s="10">
        <v>4802.5532854000003</v>
      </c>
      <c r="H134" s="10">
        <v>624.27894100000003</v>
      </c>
      <c r="I134" s="10">
        <v>629.83235200000001</v>
      </c>
      <c r="J134" s="10">
        <v>95.792798099999999</v>
      </c>
      <c r="K134" s="10">
        <v>351</v>
      </c>
      <c r="L134" s="10">
        <v>514</v>
      </c>
      <c r="M134" s="10">
        <v>1054.6523271900001</v>
      </c>
      <c r="N134" s="10">
        <v>347.060678</v>
      </c>
      <c r="O134" s="10">
        <v>787.92497100000003</v>
      </c>
      <c r="P134" s="10">
        <v>101.59537400000001</v>
      </c>
      <c r="Q134" s="10">
        <v>14.272639</v>
      </c>
      <c r="R134" s="10">
        <v>2785.2667567100002</v>
      </c>
      <c r="S134" s="10" t="s">
        <v>69</v>
      </c>
      <c r="T134" s="10">
        <v>384.53865300000001</v>
      </c>
      <c r="U134" s="10">
        <v>203.395667</v>
      </c>
      <c r="V134" s="10">
        <v>5399.8400210700001</v>
      </c>
      <c r="W134" s="10">
        <v>1934.7404899999999</v>
      </c>
      <c r="X134" s="10">
        <v>34.079591800000003</v>
      </c>
      <c r="Y134" s="10">
        <v>2.5409999999999999E-5</v>
      </c>
      <c r="Z134" s="10">
        <v>0.11138234</v>
      </c>
      <c r="AA134" s="10">
        <v>561.35655399999996</v>
      </c>
      <c r="AB134" s="10">
        <v>26.643443000000001</v>
      </c>
      <c r="AC134" s="10">
        <v>7403.2323615300029</v>
      </c>
      <c r="AD134" s="10">
        <v>11107.591830929996</v>
      </c>
      <c r="AE134" s="10">
        <v>3504.0367799999999</v>
      </c>
      <c r="AF134" s="10">
        <v>1840.7014099999999</v>
      </c>
      <c r="AG134" s="10">
        <v>413.45246400000002</v>
      </c>
      <c r="AH134" s="10">
        <v>15.194518800000001</v>
      </c>
      <c r="AI134" s="10">
        <v>-1011.17884</v>
      </c>
    </row>
    <row r="135" spans="1:35" ht="15.75" x14ac:dyDescent="0.25">
      <c r="A135" s="13">
        <v>41426</v>
      </c>
      <c r="B135" s="10">
        <v>21030.185313299997</v>
      </c>
      <c r="C135" s="10">
        <v>884.20289745000002</v>
      </c>
      <c r="D135" s="10">
        <v>13811.34154661</v>
      </c>
      <c r="E135" s="10">
        <v>6178.6395202799995</v>
      </c>
      <c r="F135" s="10">
        <v>124.01005185999999</v>
      </c>
      <c r="G135" s="10">
        <v>4492.3732164400008</v>
      </c>
      <c r="H135" s="10">
        <v>797.50933599999996</v>
      </c>
      <c r="I135" s="10">
        <v>535.52695100000005</v>
      </c>
      <c r="J135" s="10">
        <v>122.335689</v>
      </c>
      <c r="K135" s="10">
        <v>260</v>
      </c>
      <c r="L135" s="10">
        <v>685</v>
      </c>
      <c r="M135" s="10">
        <v>1231.44161966</v>
      </c>
      <c r="N135" s="10">
        <v>437.25386824999998</v>
      </c>
      <c r="O135" s="10">
        <v>703.94595200000003</v>
      </c>
      <c r="P135" s="10">
        <v>121.508753</v>
      </c>
      <c r="Q135" s="10">
        <v>15.8571255</v>
      </c>
      <c r="R135" s="10">
        <v>1418.1509490000003</v>
      </c>
      <c r="S135" s="10" t="s">
        <v>69</v>
      </c>
      <c r="T135" s="10">
        <v>379.86211800000001</v>
      </c>
      <c r="U135" s="10">
        <v>207.789905</v>
      </c>
      <c r="V135" s="10">
        <v>4122.9642106000001</v>
      </c>
      <c r="W135" s="10">
        <v>1663.89978</v>
      </c>
      <c r="X135" s="10">
        <v>29.913032099999999</v>
      </c>
      <c r="Y135" s="10">
        <v>2.5409999999999999E-5</v>
      </c>
      <c r="Z135" s="10">
        <v>3.5187299999999998E-2</v>
      </c>
      <c r="AA135" s="10">
        <v>563.99777200000005</v>
      </c>
      <c r="AB135" s="10">
        <v>21.519344700000001</v>
      </c>
      <c r="AC135" s="10">
        <v>7159.217804920002</v>
      </c>
      <c r="AD135" s="10">
        <v>10861.076284089999</v>
      </c>
      <c r="AE135" s="10">
        <v>3515.5747700000002</v>
      </c>
      <c r="AF135" s="10">
        <v>1764.71028</v>
      </c>
      <c r="AG135" s="10">
        <v>374.250517</v>
      </c>
      <c r="AH135" s="10">
        <v>14.638744000000001</v>
      </c>
      <c r="AI135" s="10">
        <v>-232.65639400000001</v>
      </c>
    </row>
    <row r="136" spans="1:35" ht="15.75" x14ac:dyDescent="0.25">
      <c r="A136" s="13">
        <v>41456</v>
      </c>
      <c r="B136" s="10">
        <v>14655.183932739999</v>
      </c>
      <c r="C136" s="10">
        <v>993.60883267000008</v>
      </c>
      <c r="D136" s="10">
        <v>14897.87351157</v>
      </c>
      <c r="E136" s="10">
        <v>6867.8999664599996</v>
      </c>
      <c r="F136" s="10">
        <v>119.20755738</v>
      </c>
      <c r="G136" s="10">
        <v>5089.5892427199997</v>
      </c>
      <c r="H136" s="10">
        <v>704.75538900000004</v>
      </c>
      <c r="I136" s="10">
        <v>596.59386500000005</v>
      </c>
      <c r="J136" s="10">
        <v>101.388974</v>
      </c>
      <c r="K136" s="10">
        <v>204</v>
      </c>
      <c r="L136" s="10">
        <v>506</v>
      </c>
      <c r="M136" s="10">
        <v>1111.5400717</v>
      </c>
      <c r="N136" s="10">
        <v>385.52073978999999</v>
      </c>
      <c r="O136" s="10">
        <v>743.265356</v>
      </c>
      <c r="P136" s="10">
        <v>104.69957700000001</v>
      </c>
      <c r="Q136" s="10">
        <v>15.602575699999999</v>
      </c>
      <c r="R136" s="10">
        <v>783.27596566000011</v>
      </c>
      <c r="S136" s="10" t="s">
        <v>69</v>
      </c>
      <c r="T136" s="10">
        <v>415.397942</v>
      </c>
      <c r="U136" s="10">
        <v>205.924531</v>
      </c>
      <c r="V136" s="10">
        <v>5658.2747508499997</v>
      </c>
      <c r="W136" s="10">
        <v>2182.9916400000002</v>
      </c>
      <c r="X136" s="10">
        <v>38.395648799999996</v>
      </c>
      <c r="Y136" s="10">
        <v>0</v>
      </c>
      <c r="Z136" s="10">
        <v>7.5997980000000007E-2</v>
      </c>
      <c r="AA136" s="10">
        <v>696.481043</v>
      </c>
      <c r="AB136" s="10">
        <v>34.843322899999997</v>
      </c>
      <c r="AC136" s="10">
        <v>10244.081264010003</v>
      </c>
      <c r="AD136" s="10">
        <v>15229.307303030002</v>
      </c>
      <c r="AE136" s="10">
        <v>5183.2600599999996</v>
      </c>
      <c r="AF136" s="10">
        <v>2513.1254899999999</v>
      </c>
      <c r="AG136" s="10">
        <v>444.37768499999999</v>
      </c>
      <c r="AH136" s="10">
        <v>15.6517932</v>
      </c>
      <c r="AI136" s="10">
        <v>-476.76768700000002</v>
      </c>
    </row>
    <row r="137" spans="1:35" ht="15.75" x14ac:dyDescent="0.25">
      <c r="A137" s="13">
        <v>41487</v>
      </c>
      <c r="B137" s="10">
        <v>14731.4</v>
      </c>
      <c r="C137" s="10">
        <v>929.6</v>
      </c>
      <c r="D137" s="10">
        <v>14808.8</v>
      </c>
      <c r="E137" s="10">
        <v>7712.4</v>
      </c>
      <c r="F137" s="10">
        <v>136.30000000000001</v>
      </c>
      <c r="G137" s="10">
        <v>5036.5</v>
      </c>
      <c r="H137" s="10">
        <v>687.05887499999994</v>
      </c>
      <c r="I137" s="10">
        <v>605.081953</v>
      </c>
      <c r="J137" s="10">
        <v>112.88177</v>
      </c>
      <c r="K137" s="10">
        <v>180</v>
      </c>
      <c r="L137" s="10">
        <v>645</v>
      </c>
      <c r="M137" s="10">
        <v>1303.1493813</v>
      </c>
      <c r="N137" s="10">
        <v>454.41542492000002</v>
      </c>
      <c r="O137" s="10">
        <v>820.97885099999996</v>
      </c>
      <c r="P137" s="10">
        <v>132.952201</v>
      </c>
      <c r="Q137" s="10">
        <v>15.3379577</v>
      </c>
      <c r="R137" s="10">
        <v>1084.8</v>
      </c>
      <c r="S137" s="10" t="s">
        <v>69</v>
      </c>
      <c r="T137" s="10">
        <v>411.483428</v>
      </c>
      <c r="U137" s="10">
        <v>229.31152599999999</v>
      </c>
      <c r="V137" s="10">
        <v>6868.5</v>
      </c>
      <c r="W137" s="10">
        <v>1953.0958599999999</v>
      </c>
      <c r="X137" s="10">
        <v>36.254979900000002</v>
      </c>
      <c r="Y137" s="10">
        <v>9.9768500000000006E-3</v>
      </c>
      <c r="Z137" s="10">
        <v>6.0227700000000002E-2</v>
      </c>
      <c r="AA137" s="10">
        <v>660.93517899999995</v>
      </c>
      <c r="AB137" s="10">
        <v>25.610072800000001</v>
      </c>
      <c r="AC137" s="10">
        <v>7400.7302140500015</v>
      </c>
      <c r="AD137" s="10">
        <v>11266.107884140001</v>
      </c>
      <c r="AE137" s="10">
        <v>3812.5234599999999</v>
      </c>
      <c r="AF137" s="10">
        <v>1928.40906</v>
      </c>
      <c r="AG137" s="10">
        <v>416.79490800000002</v>
      </c>
      <c r="AH137" s="10">
        <v>14.969764400000001</v>
      </c>
      <c r="AI137" s="10">
        <v>147.758354</v>
      </c>
    </row>
    <row r="138" spans="1:35" ht="15.75" x14ac:dyDescent="0.25">
      <c r="A138" s="13">
        <v>41518</v>
      </c>
      <c r="B138" s="10">
        <v>13180.59672913</v>
      </c>
      <c r="C138" s="10">
        <v>896.96538119000002</v>
      </c>
      <c r="D138" s="10">
        <v>15382.715054520002</v>
      </c>
      <c r="E138" s="10">
        <v>6924.6442915999996</v>
      </c>
      <c r="F138" s="10">
        <v>128.11544272999998</v>
      </c>
      <c r="G138" s="10">
        <v>4930.61325665</v>
      </c>
      <c r="H138" s="10">
        <v>786.84180200000003</v>
      </c>
      <c r="I138" s="10">
        <v>620.64695500000005</v>
      </c>
      <c r="J138" s="10">
        <v>124.38548900000001</v>
      </c>
      <c r="K138" s="10">
        <v>213</v>
      </c>
      <c r="L138" s="10">
        <v>642</v>
      </c>
      <c r="M138" s="10">
        <v>1593.39924202</v>
      </c>
      <c r="N138" s="10">
        <v>436.54391085999998</v>
      </c>
      <c r="O138" s="10">
        <v>750.36692800000003</v>
      </c>
      <c r="P138" s="10">
        <v>127.779048</v>
      </c>
      <c r="Q138" s="10">
        <v>15.3901915</v>
      </c>
      <c r="R138" s="10">
        <v>321.75030701999998</v>
      </c>
      <c r="S138" s="10" t="s">
        <v>69</v>
      </c>
      <c r="T138" s="10">
        <v>415.13817799999998</v>
      </c>
      <c r="U138" s="10">
        <v>224.38129599999999</v>
      </c>
      <c r="V138" s="10">
        <v>5187.9988814400003</v>
      </c>
      <c r="W138" s="10">
        <v>2005.6048900000001</v>
      </c>
      <c r="X138" s="10">
        <v>36.903658</v>
      </c>
      <c r="Y138" s="10">
        <v>2.5409999999999999E-5</v>
      </c>
      <c r="Z138" s="10">
        <v>0.36958579000000003</v>
      </c>
      <c r="AA138" s="10">
        <v>576.671964</v>
      </c>
      <c r="AB138" s="10">
        <v>28.084118799999999</v>
      </c>
      <c r="AC138" s="10">
        <v>7427.5321351200009</v>
      </c>
      <c r="AD138" s="10">
        <v>11308.502119029999</v>
      </c>
      <c r="AE138" s="10">
        <v>3817.2371400000002</v>
      </c>
      <c r="AF138" s="10">
        <v>1929.2858200000001</v>
      </c>
      <c r="AG138" s="10">
        <v>422.68669599999998</v>
      </c>
      <c r="AH138" s="10">
        <v>15.6264406</v>
      </c>
      <c r="AI138" s="10">
        <v>-36.7578502</v>
      </c>
    </row>
    <row r="139" spans="1:35" ht="15.75" x14ac:dyDescent="0.25">
      <c r="A139" s="13">
        <v>41548</v>
      </c>
      <c r="B139" s="10">
        <v>13847.127082950001</v>
      </c>
      <c r="C139" s="10">
        <v>1011.68631572</v>
      </c>
      <c r="D139" s="10">
        <v>15485.841316309999</v>
      </c>
      <c r="E139" s="10">
        <v>7692.4170808500003</v>
      </c>
      <c r="F139" s="10">
        <v>152.91350806</v>
      </c>
      <c r="G139" s="10">
        <v>5201.0080592499999</v>
      </c>
      <c r="H139" s="10">
        <v>734.11167999999998</v>
      </c>
      <c r="I139" s="10">
        <v>697.37007100000005</v>
      </c>
      <c r="J139" s="10">
        <v>110.403634</v>
      </c>
      <c r="K139" s="10">
        <v>101</v>
      </c>
      <c r="L139" s="10">
        <v>680</v>
      </c>
      <c r="M139" s="10">
        <v>1297.3467783000001</v>
      </c>
      <c r="N139" s="10">
        <v>516.83551241999999</v>
      </c>
      <c r="O139" s="10">
        <v>751.26616000000001</v>
      </c>
      <c r="P139" s="10">
        <v>126.52260200000001</v>
      </c>
      <c r="Q139" s="10">
        <v>15.852217100000001</v>
      </c>
      <c r="R139" s="10">
        <v>1041.0285260999999</v>
      </c>
      <c r="S139" s="10" t="s">
        <v>69</v>
      </c>
      <c r="T139" s="10">
        <v>353.66430600000001</v>
      </c>
      <c r="U139" s="10">
        <v>234.012798</v>
      </c>
      <c r="V139" s="10">
        <v>3956.67744214</v>
      </c>
      <c r="W139" s="10">
        <v>2347.9289800000001</v>
      </c>
      <c r="X139" s="10">
        <v>41.305402100000002</v>
      </c>
      <c r="Y139" s="10">
        <v>4.3667650000000002E-2</v>
      </c>
      <c r="Z139" s="10">
        <v>0.79667546</v>
      </c>
      <c r="AA139" s="10">
        <v>632.82566899999995</v>
      </c>
      <c r="AB139" s="10">
        <v>31.7611287</v>
      </c>
      <c r="AC139" s="10">
        <v>7632.2345536099983</v>
      </c>
      <c r="AD139" s="10">
        <v>11519.205395630006</v>
      </c>
      <c r="AE139" s="10">
        <v>3899.895</v>
      </c>
      <c r="AF139" s="10">
        <v>1964.48983</v>
      </c>
      <c r="AG139" s="10">
        <v>476.13090099999999</v>
      </c>
      <c r="AH139" s="10">
        <v>15.449782300000001</v>
      </c>
      <c r="AI139" s="10">
        <v>53.246284199999998</v>
      </c>
    </row>
    <row r="140" spans="1:35" ht="15.75" x14ac:dyDescent="0.25">
      <c r="A140" s="13">
        <v>41579</v>
      </c>
      <c r="B140" s="10">
        <v>14384.955261340001</v>
      </c>
      <c r="C140" s="10">
        <v>886.79261799000005</v>
      </c>
      <c r="D140" s="10">
        <v>16527.58961268</v>
      </c>
      <c r="E140" s="10">
        <v>6835.4461360300002</v>
      </c>
      <c r="F140" s="10">
        <v>167.04856054999999</v>
      </c>
      <c r="G140" s="10">
        <v>5459.5821314700006</v>
      </c>
      <c r="H140" s="10">
        <v>874.89304700000002</v>
      </c>
      <c r="I140" s="10">
        <v>713.83036100000004</v>
      </c>
      <c r="J140" s="10">
        <v>140.24695800000001</v>
      </c>
      <c r="K140" s="10">
        <v>107</v>
      </c>
      <c r="L140" s="10">
        <v>39</v>
      </c>
      <c r="M140" s="10">
        <v>1393.5897527899999</v>
      </c>
      <c r="N140" s="10">
        <v>386.90955629000001</v>
      </c>
      <c r="O140" s="10">
        <v>773.45725400000003</v>
      </c>
      <c r="P140" s="10">
        <v>138.06431900000001</v>
      </c>
      <c r="Q140" s="10">
        <v>19.9032689</v>
      </c>
      <c r="R140" s="10">
        <v>287.72563731999998</v>
      </c>
      <c r="S140" s="10" t="s">
        <v>69</v>
      </c>
      <c r="T140" s="10">
        <v>314.43465300000003</v>
      </c>
      <c r="U140" s="10">
        <v>268.42194699999999</v>
      </c>
      <c r="V140" s="10">
        <v>2679.6366706499998</v>
      </c>
      <c r="W140" s="10">
        <v>2226.83005</v>
      </c>
      <c r="X140" s="10">
        <v>40.187647400000003</v>
      </c>
      <c r="Y140" s="10">
        <v>8.1943999999999995E-4</v>
      </c>
      <c r="Z140" s="10">
        <v>0.22810965</v>
      </c>
      <c r="AA140" s="10">
        <v>577.62568099999999</v>
      </c>
      <c r="AB140" s="10">
        <v>23.9385096</v>
      </c>
      <c r="AC140" s="10">
        <v>7690.948847059999</v>
      </c>
      <c r="AD140" s="10">
        <v>11587.771944180004</v>
      </c>
      <c r="AE140" s="10">
        <v>3890.0675999999999</v>
      </c>
      <c r="AF140" s="10">
        <v>1965.8763799999999</v>
      </c>
      <c r="AG140" s="10">
        <v>458.762495</v>
      </c>
      <c r="AH140" s="10">
        <v>15.5641517</v>
      </c>
      <c r="AI140" s="10">
        <v>80.019185300000004</v>
      </c>
    </row>
    <row r="141" spans="1:35" ht="15.75" x14ac:dyDescent="0.25">
      <c r="A141" s="13">
        <v>41609</v>
      </c>
      <c r="B141" s="10">
        <v>16156</v>
      </c>
      <c r="C141" s="10">
        <v>912.5</v>
      </c>
      <c r="D141" s="10">
        <v>14653.2</v>
      </c>
      <c r="E141" s="10">
        <v>8026.4</v>
      </c>
      <c r="F141" s="10">
        <v>152.69999999999999</v>
      </c>
      <c r="G141" s="10">
        <v>5275.5</v>
      </c>
      <c r="H141" s="10">
        <v>945.99970699999994</v>
      </c>
      <c r="I141" s="10">
        <v>732.901025</v>
      </c>
      <c r="J141" s="10">
        <v>144.48514299999999</v>
      </c>
      <c r="K141" s="10">
        <v>287</v>
      </c>
      <c r="L141" s="10">
        <v>647.9</v>
      </c>
      <c r="M141" s="10">
        <v>1796.42676972</v>
      </c>
      <c r="N141" s="10">
        <v>921.24033801999997</v>
      </c>
      <c r="O141" s="10">
        <v>1288.2894699999999</v>
      </c>
      <c r="P141" s="10">
        <v>228.83479600000001</v>
      </c>
      <c r="Q141" s="10">
        <v>16.938677999999999</v>
      </c>
      <c r="R141" s="10">
        <v>1024</v>
      </c>
      <c r="S141" s="10" t="s">
        <v>69</v>
      </c>
      <c r="T141" s="10">
        <v>301.94798700000001</v>
      </c>
      <c r="U141" s="10">
        <v>228.00937200000001</v>
      </c>
      <c r="V141" s="10">
        <v>2999.4</v>
      </c>
      <c r="W141" s="10">
        <v>1994.8010899999999</v>
      </c>
      <c r="X141" s="10">
        <v>35.536433299999999</v>
      </c>
      <c r="Y141" s="10">
        <v>2.5826600000000001E-3</v>
      </c>
      <c r="Z141" s="10">
        <v>1.4384780800000001</v>
      </c>
      <c r="AA141" s="10">
        <v>551.60407099999998</v>
      </c>
      <c r="AB141" s="10">
        <v>30.446255099999998</v>
      </c>
      <c r="AC141" s="10">
        <v>7781.2808761099996</v>
      </c>
      <c r="AD141" s="10">
        <v>11517.769062410001</v>
      </c>
      <c r="AE141" s="10">
        <v>3945.2062700000001</v>
      </c>
      <c r="AF141" s="10">
        <v>2002.3217500000001</v>
      </c>
      <c r="AG141" s="10">
        <v>522.80202099999997</v>
      </c>
      <c r="AH141" s="10">
        <v>15.500622999999999</v>
      </c>
      <c r="AI141" s="10">
        <v>57.154772899999998</v>
      </c>
    </row>
    <row r="142" spans="1:35" ht="15.75" x14ac:dyDescent="0.25">
      <c r="A142" s="13">
        <v>41640</v>
      </c>
      <c r="B142" s="10">
        <v>17155.310192159999</v>
      </c>
      <c r="C142" s="10">
        <v>1216.62487179</v>
      </c>
      <c r="D142" s="10">
        <v>19130.357126999999</v>
      </c>
      <c r="E142" s="10">
        <v>8391.0979551</v>
      </c>
      <c r="F142" s="10">
        <v>184.71879593</v>
      </c>
      <c r="G142" s="10">
        <v>5748.4097180099998</v>
      </c>
      <c r="H142" s="10">
        <v>876.53733774000023</v>
      </c>
      <c r="I142" s="10">
        <v>1085.8691492000003</v>
      </c>
      <c r="J142" s="10">
        <v>133.53693423999994</v>
      </c>
      <c r="K142" s="10">
        <v>300</v>
      </c>
      <c r="L142" s="10">
        <v>650</v>
      </c>
      <c r="M142" s="10">
        <v>963.14351810999995</v>
      </c>
      <c r="N142" s="10">
        <v>314.90388110999999</v>
      </c>
      <c r="O142" s="10">
        <v>275.52569311000008</v>
      </c>
      <c r="P142" s="10">
        <v>93.845566629999993</v>
      </c>
      <c r="Q142" s="10">
        <v>13.10252747</v>
      </c>
      <c r="R142" s="10">
        <v>265.90543439999999</v>
      </c>
      <c r="S142" s="10" t="s">
        <v>69</v>
      </c>
      <c r="T142" s="10">
        <v>341.17069712</v>
      </c>
      <c r="U142" s="10">
        <v>256.28051720000002</v>
      </c>
      <c r="V142" s="10">
        <v>4004.9131153500002</v>
      </c>
      <c r="W142" s="10">
        <v>2497.1390130899999</v>
      </c>
      <c r="X142" s="10">
        <v>47.606512870000003</v>
      </c>
      <c r="Y142" s="10">
        <v>4.5556199999999998E-3</v>
      </c>
      <c r="Z142" s="10">
        <v>0.28299385999999999</v>
      </c>
      <c r="AA142" s="10">
        <v>618.26830929000005</v>
      </c>
      <c r="AB142" s="10">
        <v>42.119487340000006</v>
      </c>
      <c r="AC142" s="10">
        <v>11398.95353875</v>
      </c>
      <c r="AD142" s="10">
        <v>16725.090304150002</v>
      </c>
      <c r="AE142" s="10">
        <v>5893.0691354800001</v>
      </c>
      <c r="AF142" s="10">
        <v>2929.4308180200001</v>
      </c>
      <c r="AG142" s="10">
        <v>646.47026612000002</v>
      </c>
      <c r="AH142" s="10">
        <v>15.788850650000001</v>
      </c>
      <c r="AI142" s="10">
        <v>97.21853376999978</v>
      </c>
    </row>
    <row r="143" spans="1:35" ht="15.75" x14ac:dyDescent="0.25">
      <c r="A143" s="13">
        <v>41671</v>
      </c>
      <c r="B143" s="10">
        <v>16816.012731169998</v>
      </c>
      <c r="C143" s="10">
        <v>1193.25582852</v>
      </c>
      <c r="D143" s="10">
        <v>17856.26041214</v>
      </c>
      <c r="E143" s="10">
        <v>7965.719346150001</v>
      </c>
      <c r="F143" s="10">
        <v>134.17264723</v>
      </c>
      <c r="G143" s="10">
        <v>5628.4304697099997</v>
      </c>
      <c r="H143" s="10">
        <v>891.76987783999994</v>
      </c>
      <c r="I143" s="10">
        <v>794.57187593999981</v>
      </c>
      <c r="J143" s="10">
        <v>144.73304004999994</v>
      </c>
      <c r="K143" s="10">
        <v>1150</v>
      </c>
      <c r="L143" s="10">
        <v>1056</v>
      </c>
      <c r="M143" s="10">
        <v>1640.8063411200001</v>
      </c>
      <c r="N143" s="10">
        <v>510.58447765</v>
      </c>
      <c r="O143" s="10">
        <v>812.38935003999995</v>
      </c>
      <c r="P143" s="10">
        <v>168.51055072</v>
      </c>
      <c r="Q143" s="10">
        <v>16.786989739999996</v>
      </c>
      <c r="R143" s="10">
        <v>973.74704238000004</v>
      </c>
      <c r="S143" s="10" t="s">
        <v>69</v>
      </c>
      <c r="T143" s="10">
        <v>304.62413080000005</v>
      </c>
      <c r="U143" s="10">
        <v>203.85234427999998</v>
      </c>
      <c r="V143" s="10">
        <v>3949.8636152899999</v>
      </c>
      <c r="W143" s="10">
        <v>2212.15147858</v>
      </c>
      <c r="X143" s="10">
        <v>44.753283000000003</v>
      </c>
      <c r="Y143" s="10">
        <v>0.15219647</v>
      </c>
      <c r="Z143" s="10">
        <v>0.13388008000000001</v>
      </c>
      <c r="AA143" s="10">
        <v>616.92092420000006</v>
      </c>
      <c r="AB143" s="10">
        <v>43.507983649999993</v>
      </c>
      <c r="AC143" s="10">
        <v>8356.7080075699996</v>
      </c>
      <c r="AD143" s="10">
        <v>12803.143629499998</v>
      </c>
      <c r="AE143" s="10">
        <v>4395.9515009500001</v>
      </c>
      <c r="AF143" s="10">
        <v>2214.7122420599994</v>
      </c>
      <c r="AG143" s="10">
        <v>464.28771614000004</v>
      </c>
      <c r="AH143" s="10">
        <v>15.743703679999999</v>
      </c>
      <c r="AI143" s="10">
        <v>118.39824690999947</v>
      </c>
    </row>
    <row r="144" spans="1:35" ht="15.75" x14ac:dyDescent="0.25">
      <c r="A144" s="13">
        <v>41699</v>
      </c>
      <c r="B144" s="10">
        <v>13704.054145120001</v>
      </c>
      <c r="C144" s="10">
        <v>1234.9093537499998</v>
      </c>
      <c r="D144" s="10">
        <v>17192.052939970003</v>
      </c>
      <c r="E144" s="10">
        <v>8343.1084591599993</v>
      </c>
      <c r="F144" s="10">
        <v>143.97123132999999</v>
      </c>
      <c r="G144" s="10">
        <v>5258.7359671200002</v>
      </c>
      <c r="H144" s="10">
        <v>909.45701910000014</v>
      </c>
      <c r="I144" s="10">
        <v>699.51932887999999</v>
      </c>
      <c r="J144" s="10">
        <v>135.27610730999996</v>
      </c>
      <c r="K144" s="10">
        <v>5.8</v>
      </c>
      <c r="L144" s="10">
        <v>700</v>
      </c>
      <c r="M144" s="10">
        <v>1229.1426349000001</v>
      </c>
      <c r="N144" s="10">
        <v>491.6378522</v>
      </c>
      <c r="O144" s="10">
        <v>724.03967434000003</v>
      </c>
      <c r="P144" s="10">
        <v>166.64165598000002</v>
      </c>
      <c r="Q144" s="10">
        <v>14.319696919999998</v>
      </c>
      <c r="R144" s="10">
        <v>304.92049276</v>
      </c>
      <c r="S144" s="10" t="s">
        <v>69</v>
      </c>
      <c r="T144" s="10">
        <v>314.10375754</v>
      </c>
      <c r="U144" s="10">
        <v>217.55717278999998</v>
      </c>
      <c r="V144" s="10">
        <v>5342.7242439900001</v>
      </c>
      <c r="W144" s="10">
        <v>2073.6582295499998</v>
      </c>
      <c r="X144" s="10">
        <v>42.293949850000004</v>
      </c>
      <c r="Y144" s="10">
        <v>5.7387000000000009E-4</v>
      </c>
      <c r="Z144" s="10">
        <v>1.3488661200000001</v>
      </c>
      <c r="AA144" s="10">
        <v>617.64261513000019</v>
      </c>
      <c r="AB144" s="10">
        <v>41.376187780000002</v>
      </c>
      <c r="AC144" s="10">
        <v>8334.3737433100014</v>
      </c>
      <c r="AD144" s="10">
        <v>12656.01809526</v>
      </c>
      <c r="AE144" s="10">
        <v>4301.0724157700006</v>
      </c>
      <c r="AF144" s="10">
        <v>2244.8758466800004</v>
      </c>
      <c r="AG144" s="10">
        <v>631.71735153999998</v>
      </c>
      <c r="AH144" s="10">
        <v>2.0072652599999996</v>
      </c>
      <c r="AI144" s="10">
        <v>7.9861563600001011</v>
      </c>
    </row>
    <row r="145" spans="1:35" ht="15.75" x14ac:dyDescent="0.25">
      <c r="A145" s="13">
        <v>41730</v>
      </c>
      <c r="B145" s="10">
        <v>14285.270534629999</v>
      </c>
      <c r="C145" s="10">
        <v>1507.2949346299999</v>
      </c>
      <c r="D145" s="10">
        <v>17970.904830700005</v>
      </c>
      <c r="E145" s="10">
        <v>9545.4454962199998</v>
      </c>
      <c r="F145" s="10">
        <v>167.37230240999997</v>
      </c>
      <c r="G145" s="10">
        <v>5674.9167038099995</v>
      </c>
      <c r="H145" s="10">
        <v>846.04579882000019</v>
      </c>
      <c r="I145" s="10">
        <v>823.33020370000008</v>
      </c>
      <c r="J145" s="10">
        <v>133.21231494</v>
      </c>
      <c r="K145" s="10">
        <v>222.6</v>
      </c>
      <c r="L145" s="10">
        <v>1049.5999999999999</v>
      </c>
      <c r="M145" s="10">
        <v>1146.99978053</v>
      </c>
      <c r="N145" s="10">
        <v>328.67442858999999</v>
      </c>
      <c r="O145" s="10">
        <v>779.99069175</v>
      </c>
      <c r="P145" s="10">
        <v>163.69416296999998</v>
      </c>
      <c r="Q145" s="10">
        <v>15.787210439999997</v>
      </c>
      <c r="R145" s="10">
        <v>688.08427877999998</v>
      </c>
      <c r="S145" s="10" t="s">
        <v>69</v>
      </c>
      <c r="T145" s="10">
        <v>331.66618118999997</v>
      </c>
      <c r="U145" s="10">
        <v>249.53428000999995</v>
      </c>
      <c r="V145" s="10">
        <v>14513.931964849999</v>
      </c>
      <c r="W145" s="10">
        <v>2482.1029630599996</v>
      </c>
      <c r="X145" s="10">
        <v>49.055031480000004</v>
      </c>
      <c r="Y145" s="10">
        <v>8.0860000000000003E-4</v>
      </c>
      <c r="Z145" s="10">
        <v>1.9660611799999999</v>
      </c>
      <c r="AA145" s="10">
        <v>675.24467419000007</v>
      </c>
      <c r="AB145" s="10">
        <v>39.756925639999999</v>
      </c>
      <c r="AC145" s="10">
        <v>8722.8481861199998</v>
      </c>
      <c r="AD145" s="10">
        <v>13537.763551320002</v>
      </c>
      <c r="AE145" s="10">
        <v>4508.0835087300011</v>
      </c>
      <c r="AF145" s="10">
        <v>2290.8371631</v>
      </c>
      <c r="AG145" s="10">
        <v>586.57390463000013</v>
      </c>
      <c r="AH145" s="10">
        <v>16.644020939999997</v>
      </c>
      <c r="AI145" s="10">
        <v>115.06367428999967</v>
      </c>
    </row>
    <row r="146" spans="1:35" ht="15.75" x14ac:dyDescent="0.25">
      <c r="A146" s="13">
        <v>41760</v>
      </c>
      <c r="B146" s="10">
        <v>27794.448777879996</v>
      </c>
      <c r="C146" s="10">
        <v>1455.1331669200001</v>
      </c>
      <c r="D146" s="10">
        <v>17416.02738666</v>
      </c>
      <c r="E146" s="10">
        <v>8557.8616259699993</v>
      </c>
      <c r="F146" s="10">
        <v>247.97193665</v>
      </c>
      <c r="G146" s="10">
        <v>6528.37221013</v>
      </c>
      <c r="H146" s="10">
        <v>944.70629492000023</v>
      </c>
      <c r="I146" s="10">
        <v>652.70446251999999</v>
      </c>
      <c r="J146" s="10">
        <v>150.02603685999998</v>
      </c>
      <c r="K146" s="10">
        <v>202.62299999999999</v>
      </c>
      <c r="L146" s="10">
        <v>879.7</v>
      </c>
      <c r="M146" s="10">
        <v>1521.38911463</v>
      </c>
      <c r="N146" s="10">
        <v>370.30921705999998</v>
      </c>
      <c r="O146" s="10">
        <v>950.73606207000012</v>
      </c>
      <c r="P146" s="10">
        <v>135.59639712000001</v>
      </c>
      <c r="Q146" s="10">
        <v>14.47264345</v>
      </c>
      <c r="R146" s="10">
        <v>3943.6595729599999</v>
      </c>
      <c r="S146" s="10" t="s">
        <v>69</v>
      </c>
      <c r="T146" s="10">
        <v>341.78778558000005</v>
      </c>
      <c r="U146" s="10">
        <v>225.50822632999999</v>
      </c>
      <c r="V146" s="10">
        <v>8789.6200509199989</v>
      </c>
      <c r="W146" s="10">
        <v>2515.7710930100006</v>
      </c>
      <c r="X146" s="10">
        <v>48.506673599999999</v>
      </c>
      <c r="Y146" s="10">
        <v>3.9489999999999996E-5</v>
      </c>
      <c r="Z146" s="10">
        <v>1.2193406299999998</v>
      </c>
      <c r="AA146" s="10">
        <v>634.82019908999996</v>
      </c>
      <c r="AB146" s="10">
        <v>36.230093389999993</v>
      </c>
      <c r="AC146" s="10">
        <v>9091.8290719699999</v>
      </c>
      <c r="AD146" s="10">
        <v>13831.442929789997</v>
      </c>
      <c r="AE146" s="10">
        <v>4661.3664060299998</v>
      </c>
      <c r="AF146" s="10">
        <v>2470.5590896400008</v>
      </c>
      <c r="AG146" s="10">
        <v>631.39460717000009</v>
      </c>
      <c r="AH146" s="10">
        <v>21.212697969999994</v>
      </c>
      <c r="AI146" s="10">
        <v>-53.838356029999879</v>
      </c>
    </row>
    <row r="147" spans="1:35" ht="15.75" x14ac:dyDescent="0.25">
      <c r="A147" s="13">
        <v>41791</v>
      </c>
      <c r="B147" s="10">
        <v>27959.954818959999</v>
      </c>
      <c r="C147" s="10">
        <v>1335.30430013</v>
      </c>
      <c r="D147" s="10">
        <v>16866.223071470002</v>
      </c>
      <c r="E147" s="10">
        <v>8678.0723195399987</v>
      </c>
      <c r="F147" s="10">
        <v>299.0564809</v>
      </c>
      <c r="G147" s="10">
        <v>6043.7268830599996</v>
      </c>
      <c r="H147" s="10">
        <v>1083.9286259400001</v>
      </c>
      <c r="I147" s="10">
        <v>620.09213940000006</v>
      </c>
      <c r="J147" s="10">
        <v>169.98554113999998</v>
      </c>
      <c r="K147" s="10">
        <v>176.8</v>
      </c>
      <c r="L147" s="10">
        <v>1020</v>
      </c>
      <c r="M147" s="10">
        <v>1709.1591163999999</v>
      </c>
      <c r="N147" s="10">
        <v>604.38306329</v>
      </c>
      <c r="O147" s="10">
        <v>995.03181727999993</v>
      </c>
      <c r="P147" s="10">
        <v>182.03265281999998</v>
      </c>
      <c r="Q147" s="10">
        <v>12.978771040000002</v>
      </c>
      <c r="R147" s="10">
        <v>1904.66045755</v>
      </c>
      <c r="S147" s="10" t="s">
        <v>69</v>
      </c>
      <c r="T147" s="10">
        <v>339.27033496000001</v>
      </c>
      <c r="U147" s="10">
        <v>282.16968063999997</v>
      </c>
      <c r="V147" s="10">
        <v>8548.1021980599999</v>
      </c>
      <c r="W147" s="10">
        <v>2208.85778213</v>
      </c>
      <c r="X147" s="10">
        <v>43.827970829999998</v>
      </c>
      <c r="Y147" s="10">
        <v>1.4341999999999998E-4</v>
      </c>
      <c r="Z147" s="10">
        <v>2.3933625899999997</v>
      </c>
      <c r="AA147" s="10">
        <v>613.55162709000012</v>
      </c>
      <c r="AB147" s="10">
        <v>38.191993140000008</v>
      </c>
      <c r="AC147" s="10">
        <v>8974.6602313999992</v>
      </c>
      <c r="AD147" s="10">
        <v>13594.3745088</v>
      </c>
      <c r="AE147" s="10">
        <v>4635.5693955199995</v>
      </c>
      <c r="AF147" s="10">
        <v>2478.587746749999</v>
      </c>
      <c r="AG147" s="10">
        <v>592.21050536000007</v>
      </c>
      <c r="AH147" s="10">
        <v>22.492888660000002</v>
      </c>
      <c r="AI147" s="10">
        <v>52.735879249999456</v>
      </c>
    </row>
    <row r="148" spans="1:35" ht="15.75" x14ac:dyDescent="0.25">
      <c r="A148" s="13">
        <v>41821</v>
      </c>
      <c r="B148" s="10">
        <v>20526.886642450001</v>
      </c>
      <c r="C148" s="10">
        <v>1403.0858883899998</v>
      </c>
      <c r="D148" s="10">
        <v>19262.327773229998</v>
      </c>
      <c r="E148" s="10">
        <v>9137.3703620199994</v>
      </c>
      <c r="F148" s="10">
        <v>197.65231004999998</v>
      </c>
      <c r="G148" s="10">
        <v>6925.4735842800001</v>
      </c>
      <c r="H148" s="10">
        <v>1043.7460272800001</v>
      </c>
      <c r="I148" s="10">
        <v>599.80526654000005</v>
      </c>
      <c r="J148" s="10">
        <v>151.94370569</v>
      </c>
      <c r="K148" s="10">
        <v>400</v>
      </c>
      <c r="L148" s="10">
        <v>1300</v>
      </c>
      <c r="M148" s="10">
        <v>1586.96543591</v>
      </c>
      <c r="N148" s="10">
        <v>632.58617420999997</v>
      </c>
      <c r="O148" s="10">
        <v>1264.0175022599997</v>
      </c>
      <c r="P148" s="10">
        <v>158.42384077999998</v>
      </c>
      <c r="Q148" s="10">
        <v>14.250632720000002</v>
      </c>
      <c r="R148" s="10">
        <v>1046.7548360799999</v>
      </c>
      <c r="S148" s="10" t="s">
        <v>69</v>
      </c>
      <c r="T148" s="10">
        <v>376.91444403000003</v>
      </c>
      <c r="U148" s="10">
        <v>286.36252528</v>
      </c>
      <c r="V148" s="10">
        <v>9362.5738608299998</v>
      </c>
      <c r="W148" s="10">
        <v>2647.8803514400001</v>
      </c>
      <c r="X148" s="10">
        <v>50.998485030000005</v>
      </c>
      <c r="Y148" s="10">
        <v>2.584E-5</v>
      </c>
      <c r="Z148" s="10">
        <v>1.2768588299999999</v>
      </c>
      <c r="AA148" s="10">
        <v>650.64368005999995</v>
      </c>
      <c r="AB148" s="10">
        <v>31.468092089999999</v>
      </c>
      <c r="AC148" s="10">
        <v>13004.329807890004</v>
      </c>
      <c r="AD148" s="10">
        <v>19364.654958660005</v>
      </c>
      <c r="AE148" s="10">
        <v>6730.4282816000004</v>
      </c>
      <c r="AF148" s="10">
        <v>3477.416641920001</v>
      </c>
      <c r="AG148" s="10">
        <v>606.16417805000003</v>
      </c>
      <c r="AH148" s="10">
        <v>23.000801480000003</v>
      </c>
      <c r="AI148" s="10">
        <v>72.919301059999711</v>
      </c>
    </row>
    <row r="149" spans="1:35" ht="15.75" x14ac:dyDescent="0.25">
      <c r="A149" s="13">
        <v>41852</v>
      </c>
      <c r="B149" s="10">
        <v>21543.515855080001</v>
      </c>
      <c r="C149" s="10">
        <v>1272.3314154300001</v>
      </c>
      <c r="D149" s="10">
        <v>19981.237030709999</v>
      </c>
      <c r="E149" s="10">
        <v>8450.0662197399997</v>
      </c>
      <c r="F149" s="10">
        <v>77.734448330000021</v>
      </c>
      <c r="G149" s="10">
        <v>6796.0418778799994</v>
      </c>
      <c r="H149" s="10">
        <v>1084.8132253500003</v>
      </c>
      <c r="I149" s="10">
        <v>692.25829820999991</v>
      </c>
      <c r="J149" s="10">
        <v>183.68401733999997</v>
      </c>
      <c r="K149" s="10">
        <v>240</v>
      </c>
      <c r="L149" s="10">
        <v>0</v>
      </c>
      <c r="M149" s="10">
        <v>1614.09067132</v>
      </c>
      <c r="N149" s="10">
        <v>795.70972911000001</v>
      </c>
      <c r="O149" s="10">
        <v>1359.73044252</v>
      </c>
      <c r="P149" s="10">
        <v>188.76792298000001</v>
      </c>
      <c r="Q149" s="10">
        <v>18.215764990000007</v>
      </c>
      <c r="R149" s="10">
        <v>1430.0842738400002</v>
      </c>
      <c r="S149" s="10" t="s">
        <v>69</v>
      </c>
      <c r="T149" s="10">
        <v>349.41711185000003</v>
      </c>
      <c r="U149" s="10">
        <v>276.20689924999994</v>
      </c>
      <c r="V149" s="10">
        <v>6633.8285984200002</v>
      </c>
      <c r="W149" s="10">
        <v>2486.1295685300001</v>
      </c>
      <c r="X149" s="10">
        <v>48.199570379999997</v>
      </c>
      <c r="Y149" s="10">
        <v>1.1833E-3</v>
      </c>
      <c r="Z149" s="10">
        <v>1.6501499899999998</v>
      </c>
      <c r="AA149" s="10">
        <v>627.58365864999996</v>
      </c>
      <c r="AB149" s="10">
        <v>34.582652499999995</v>
      </c>
      <c r="AC149" s="10">
        <v>9715.4413925200006</v>
      </c>
      <c r="AD149" s="10">
        <v>14559.185534780001</v>
      </c>
      <c r="AE149" s="10">
        <v>4911.2404683700015</v>
      </c>
      <c r="AF149" s="10">
        <v>2656.7471223899997</v>
      </c>
      <c r="AG149" s="10">
        <v>536.05067173999998</v>
      </c>
      <c r="AH149" s="10">
        <v>22.69849039</v>
      </c>
      <c r="AI149" s="10">
        <v>358.41901262000027</v>
      </c>
    </row>
    <row r="150" spans="1:35" ht="15.75" x14ac:dyDescent="0.25">
      <c r="A150" s="13">
        <v>41883</v>
      </c>
      <c r="B150" s="10">
        <v>20435.928198580001</v>
      </c>
      <c r="C150" s="10">
        <v>1387.2105538799999</v>
      </c>
      <c r="D150" s="10">
        <v>20455.222318249998</v>
      </c>
      <c r="E150" s="10">
        <v>9500.8161433500009</v>
      </c>
      <c r="F150" s="10">
        <v>222.75852395000001</v>
      </c>
      <c r="G150" s="10">
        <v>6731.7823574999993</v>
      </c>
      <c r="H150" s="10">
        <v>1202.3743001499997</v>
      </c>
      <c r="I150" s="10">
        <v>714.72488801999987</v>
      </c>
      <c r="J150" s="10">
        <v>181.80222417000002</v>
      </c>
      <c r="K150" s="10">
        <v>230</v>
      </c>
      <c r="L150" s="10">
        <v>1250</v>
      </c>
      <c r="M150" s="10">
        <v>1902.97429728</v>
      </c>
      <c r="N150" s="10">
        <v>825.48913541000002</v>
      </c>
      <c r="O150" s="10">
        <v>1365.3610225699999</v>
      </c>
      <c r="P150" s="10">
        <v>188.40378049999998</v>
      </c>
      <c r="Q150" s="10">
        <v>14.190791140000002</v>
      </c>
      <c r="R150" s="10">
        <v>486.58963119999999</v>
      </c>
      <c r="S150" s="10" t="s">
        <v>69</v>
      </c>
      <c r="T150" s="10">
        <v>374.44592133999998</v>
      </c>
      <c r="U150" s="10">
        <v>284.18151845</v>
      </c>
      <c r="V150" s="10">
        <v>5855.7246797199996</v>
      </c>
      <c r="W150" s="10">
        <v>2735.2920010399994</v>
      </c>
      <c r="X150" s="10">
        <v>53.199970929999978</v>
      </c>
      <c r="Y150" s="10">
        <v>4.208104E-2</v>
      </c>
      <c r="Z150" s="10">
        <v>7.0435870899999999</v>
      </c>
      <c r="AA150" s="10">
        <v>696.15051462000019</v>
      </c>
      <c r="AB150" s="10">
        <v>50.674920670000006</v>
      </c>
      <c r="AC150" s="10">
        <v>10137.363302760001</v>
      </c>
      <c r="AD150" s="10">
        <v>14704.849864200001</v>
      </c>
      <c r="AE150" s="10">
        <v>5286.7507663099996</v>
      </c>
      <c r="AF150" s="10">
        <v>2762.5414722699998</v>
      </c>
      <c r="AG150" s="10">
        <v>722.18268570999999</v>
      </c>
      <c r="AH150" s="10">
        <v>24.525857519999999</v>
      </c>
      <c r="AI150" s="10">
        <v>572.78944578999983</v>
      </c>
    </row>
    <row r="151" spans="1:35" ht="15.75" x14ac:dyDescent="0.25">
      <c r="A151" s="13">
        <v>41913</v>
      </c>
      <c r="B151" s="10">
        <v>22922.5</v>
      </c>
      <c r="C151" s="10">
        <v>1351.4</v>
      </c>
      <c r="D151" s="10">
        <v>20774.900000000001</v>
      </c>
      <c r="E151" s="10">
        <v>9364.9</v>
      </c>
      <c r="F151" s="10">
        <v>197</v>
      </c>
      <c r="G151" s="10">
        <v>6858.2</v>
      </c>
      <c r="H151" s="10">
        <v>1155.8717977399999</v>
      </c>
      <c r="I151" s="10">
        <v>936.77670429</v>
      </c>
      <c r="J151" s="10">
        <v>183.21377610000002</v>
      </c>
      <c r="K151" s="10">
        <v>900</v>
      </c>
      <c r="L151" s="10">
        <v>1000</v>
      </c>
      <c r="M151" s="10">
        <v>2130.6918473800001</v>
      </c>
      <c r="N151" s="10">
        <v>777.83025051000004</v>
      </c>
      <c r="O151" s="10">
        <v>1317.41286044</v>
      </c>
      <c r="P151" s="10">
        <v>195.17971814000003</v>
      </c>
      <c r="Q151" s="10">
        <v>17.787692539999998</v>
      </c>
      <c r="R151" s="10">
        <v>1439.6</v>
      </c>
      <c r="S151" s="10" t="s">
        <v>69</v>
      </c>
      <c r="T151" s="10">
        <v>410.73853093999992</v>
      </c>
      <c r="U151" s="10">
        <v>352.47307064000006</v>
      </c>
      <c r="V151" s="10">
        <v>7378.1</v>
      </c>
      <c r="W151" s="10">
        <v>2836.4411061100004</v>
      </c>
      <c r="X151" s="10">
        <v>54.734143389999993</v>
      </c>
      <c r="Y151" s="10">
        <v>9.9536399999999997E-2</v>
      </c>
      <c r="Z151" s="10">
        <v>4.9854019699999998</v>
      </c>
      <c r="AA151" s="10">
        <v>685.09523467999998</v>
      </c>
      <c r="AB151" s="10">
        <v>32.705311019999996</v>
      </c>
      <c r="AC151" s="10">
        <v>10434.834822610001</v>
      </c>
      <c r="AD151" s="10">
        <v>15583.2614966</v>
      </c>
      <c r="AE151" s="10">
        <v>5232.2365366300019</v>
      </c>
      <c r="AF151" s="10">
        <v>2796.4987112699996</v>
      </c>
      <c r="AG151" s="10">
        <v>868.0359130500002</v>
      </c>
      <c r="AH151" s="10">
        <v>24.295354560000003</v>
      </c>
      <c r="AI151" s="10">
        <v>104.62513592999996</v>
      </c>
    </row>
    <row r="152" spans="1:35" ht="15.75" x14ac:dyDescent="0.25">
      <c r="A152" s="13">
        <v>41944</v>
      </c>
      <c r="B152" s="10">
        <v>23537.983554869996</v>
      </c>
      <c r="C152" s="10">
        <v>1166.20431431</v>
      </c>
      <c r="D152" s="10">
        <v>21479.312638609998</v>
      </c>
      <c r="E152" s="10">
        <v>8776.3103803099984</v>
      </c>
      <c r="F152" s="10">
        <v>233.57920281000003</v>
      </c>
      <c r="G152" s="10">
        <v>7115.6136482500006</v>
      </c>
      <c r="H152" s="10">
        <v>1457.5163823800001</v>
      </c>
      <c r="I152" s="10">
        <v>896.45026752000001</v>
      </c>
      <c r="J152" s="10">
        <v>223.95456826999998</v>
      </c>
      <c r="K152" s="10">
        <v>492</v>
      </c>
      <c r="L152" s="10">
        <v>1510</v>
      </c>
      <c r="M152" s="10">
        <v>2274.2616713399998</v>
      </c>
      <c r="N152" s="10">
        <v>715.90102701000001</v>
      </c>
      <c r="O152" s="10">
        <v>1512.5801189000001</v>
      </c>
      <c r="P152" s="10">
        <v>205.83907286000002</v>
      </c>
      <c r="Q152" s="10">
        <v>19.095493749999999</v>
      </c>
      <c r="R152" s="10">
        <v>434.16709290999995</v>
      </c>
      <c r="S152" s="10" t="s">
        <v>69</v>
      </c>
      <c r="T152" s="10">
        <v>378.17599347999993</v>
      </c>
      <c r="U152" s="10">
        <v>329.44703513000002</v>
      </c>
      <c r="V152" s="10">
        <v>4617.8404123799992</v>
      </c>
      <c r="W152" s="10">
        <v>2392.5453641900003</v>
      </c>
      <c r="X152" s="10">
        <v>45.754530290000012</v>
      </c>
      <c r="Y152" s="10">
        <v>5.1075760000000012E-2</v>
      </c>
      <c r="Z152" s="10">
        <v>10.70758068</v>
      </c>
      <c r="AA152" s="10">
        <v>579.74428072000001</v>
      </c>
      <c r="AB152" s="10">
        <v>34.867590489999998</v>
      </c>
      <c r="AC152" s="10">
        <v>10594.538496660001</v>
      </c>
      <c r="AD152" s="10">
        <v>15825.483930689999</v>
      </c>
      <c r="AE152" s="10">
        <v>5228.4946283599975</v>
      </c>
      <c r="AF152" s="10">
        <v>2886.0063100100001</v>
      </c>
      <c r="AG152" s="10">
        <v>766.3754861299999</v>
      </c>
      <c r="AH152" s="10">
        <v>24.47557995999999</v>
      </c>
      <c r="AI152" s="10">
        <v>-169.25882166000017</v>
      </c>
    </row>
    <row r="153" spans="1:35" ht="15.75" x14ac:dyDescent="0.25">
      <c r="A153" s="13">
        <v>41974</v>
      </c>
      <c r="B153" s="10">
        <v>24683.872251860004</v>
      </c>
      <c r="C153" s="10">
        <v>1186.62416467</v>
      </c>
      <c r="D153" s="10">
        <v>22875.629807320001</v>
      </c>
      <c r="E153" s="10">
        <v>8254.6253408499997</v>
      </c>
      <c r="F153" s="10">
        <v>184.88067617999999</v>
      </c>
      <c r="G153" s="10">
        <v>7430.1418019199991</v>
      </c>
      <c r="H153" s="10">
        <v>1428.5863493499999</v>
      </c>
      <c r="I153" s="10">
        <v>978.33125269000004</v>
      </c>
      <c r="J153" s="10">
        <v>221.90333360000002</v>
      </c>
      <c r="K153" s="10">
        <v>703.2</v>
      </c>
      <c r="L153" s="10">
        <v>800</v>
      </c>
      <c r="M153" s="10">
        <v>2846.4932877699998</v>
      </c>
      <c r="N153" s="10">
        <v>1443.76163148</v>
      </c>
      <c r="O153" s="10">
        <v>2385.4171001300001</v>
      </c>
      <c r="P153" s="10">
        <v>336.15489780000001</v>
      </c>
      <c r="Q153" s="10">
        <v>15.89199065</v>
      </c>
      <c r="R153" s="10">
        <v>1437.4850813100002</v>
      </c>
      <c r="S153" s="10" t="s">
        <v>69</v>
      </c>
      <c r="T153" s="10">
        <v>396.97453167000009</v>
      </c>
      <c r="U153" s="10">
        <v>317.98768694999995</v>
      </c>
      <c r="V153" s="10">
        <v>5090.94287239</v>
      </c>
      <c r="W153" s="10">
        <v>2394.3036510700003</v>
      </c>
      <c r="X153" s="10">
        <v>47.245683749999998</v>
      </c>
      <c r="Y153" s="10">
        <v>1.5771799999999999E-3</v>
      </c>
      <c r="Z153" s="10">
        <v>7.1088343499999995</v>
      </c>
      <c r="AA153" s="10">
        <v>598.98094371000002</v>
      </c>
      <c r="AB153" s="10">
        <v>28.203533739999997</v>
      </c>
      <c r="AC153" s="10">
        <v>10665.383664990002</v>
      </c>
      <c r="AD153" s="10">
        <v>15840.429478819997</v>
      </c>
      <c r="AE153" s="10">
        <v>5361.1661185500006</v>
      </c>
      <c r="AF153" s="10">
        <v>3000.6744062500002</v>
      </c>
      <c r="AG153" s="10">
        <v>699.04917075000003</v>
      </c>
      <c r="AH153" s="10">
        <v>24.413837970000003</v>
      </c>
      <c r="AI153" s="10">
        <v>62.708735749999903</v>
      </c>
    </row>
    <row r="154" spans="1:35" ht="15.75" x14ac:dyDescent="0.25">
      <c r="A154" s="13">
        <v>42005</v>
      </c>
      <c r="B154" s="10">
        <v>24520.797358039999</v>
      </c>
      <c r="C154" s="10">
        <v>1354.20676037</v>
      </c>
      <c r="D154" s="10">
        <v>25912.418992999999</v>
      </c>
      <c r="E154" s="10">
        <v>9101.2175738000005</v>
      </c>
      <c r="F154" s="10">
        <v>158.16994885999998</v>
      </c>
      <c r="G154" s="10">
        <v>7266.3064879499998</v>
      </c>
      <c r="H154" s="10">
        <v>1341.6379036099997</v>
      </c>
      <c r="I154" s="10">
        <v>957.24352593000015</v>
      </c>
      <c r="J154" s="10">
        <v>199.22198946999998</v>
      </c>
      <c r="K154" s="10">
        <v>1468.9</v>
      </c>
      <c r="L154" s="10">
        <v>592</v>
      </c>
      <c r="M154" s="10">
        <v>1281.9528675199999</v>
      </c>
      <c r="N154" s="10">
        <v>324.17584869000001</v>
      </c>
      <c r="O154" s="10">
        <v>534.61312476000001</v>
      </c>
      <c r="P154" s="10">
        <v>87.395575829999999</v>
      </c>
      <c r="Q154" s="10">
        <v>12.463394809999999</v>
      </c>
      <c r="R154" s="10">
        <v>413.22824333</v>
      </c>
      <c r="S154" s="10" t="s">
        <v>69</v>
      </c>
      <c r="T154" s="10">
        <v>408.83904971000004</v>
      </c>
      <c r="U154" s="10">
        <v>349.57179405000005</v>
      </c>
      <c r="V154" s="10">
        <v>4343.5586698500001</v>
      </c>
      <c r="W154" s="10">
        <v>2784.7651070400007</v>
      </c>
      <c r="X154" s="10">
        <v>54.14046161000001</v>
      </c>
      <c r="Y154" s="10">
        <v>2.7739999999999999E-5</v>
      </c>
      <c r="Z154" s="10">
        <v>0.54888443000000009</v>
      </c>
      <c r="AA154" s="10">
        <v>621.2027916699999</v>
      </c>
      <c r="AB154" s="10">
        <v>29.366188270000002</v>
      </c>
      <c r="AC154" s="10">
        <v>15422.698361390001</v>
      </c>
      <c r="AD154" s="10">
        <v>22526.487098570007</v>
      </c>
      <c r="AE154" s="10">
        <v>7940.3508125699982</v>
      </c>
      <c r="AF154" s="10">
        <v>4418.59879843</v>
      </c>
      <c r="AG154" s="10">
        <v>823.01019694000001</v>
      </c>
      <c r="AH154" s="10">
        <v>25.201029159999997</v>
      </c>
      <c r="AI154" s="10">
        <v>288.36404562000041</v>
      </c>
    </row>
    <row r="155" spans="1:35" ht="15.75" x14ac:dyDescent="0.25">
      <c r="A155" s="13">
        <v>42036</v>
      </c>
      <c r="B155" s="10">
        <v>24009.384608550001</v>
      </c>
      <c r="C155" s="10">
        <v>1155.7116993299999</v>
      </c>
      <c r="D155" s="10">
        <v>23183.717834900002</v>
      </c>
      <c r="E155" s="10">
        <v>7864.4546926699995</v>
      </c>
      <c r="F155" s="10">
        <v>213.24275555</v>
      </c>
      <c r="G155" s="10">
        <v>6498.0997146099999</v>
      </c>
      <c r="H155" s="10">
        <v>1599.8766067899999</v>
      </c>
      <c r="I155" s="10">
        <v>839.77645529999995</v>
      </c>
      <c r="J155" s="10">
        <v>175.36855916000002</v>
      </c>
      <c r="K155" s="10">
        <v>35</v>
      </c>
      <c r="L155" s="10">
        <v>10</v>
      </c>
      <c r="M155" s="10">
        <v>2447.5622957599999</v>
      </c>
      <c r="N155" s="10">
        <v>719.89805569999999</v>
      </c>
      <c r="O155" s="10">
        <v>1407.34562734</v>
      </c>
      <c r="P155" s="10">
        <v>161.27836920000004</v>
      </c>
      <c r="Q155" s="10">
        <v>19.201232909999998</v>
      </c>
      <c r="R155" s="10">
        <v>1357.8639635499999</v>
      </c>
      <c r="S155" s="10" t="s">
        <v>69</v>
      </c>
      <c r="T155" s="10">
        <v>400.39267364999995</v>
      </c>
      <c r="U155" s="10">
        <v>272.75649420999997</v>
      </c>
      <c r="V155" s="10">
        <v>3373.7644692100002</v>
      </c>
      <c r="W155" s="10">
        <v>2222.2174770500001</v>
      </c>
      <c r="X155" s="10">
        <v>42.319760449999997</v>
      </c>
      <c r="Y155" s="10">
        <v>2.5409999999999999E-5</v>
      </c>
      <c r="Z155" s="10">
        <v>9.66817043</v>
      </c>
      <c r="AA155" s="10">
        <v>537.74139004999995</v>
      </c>
      <c r="AB155" s="10">
        <v>38.178405430000005</v>
      </c>
      <c r="AC155" s="10">
        <v>11557.701840610001</v>
      </c>
      <c r="AD155" s="10">
        <v>17177.767817190001</v>
      </c>
      <c r="AE155" s="10">
        <v>5874.7504964699992</v>
      </c>
      <c r="AF155" s="10">
        <v>3308.8535463500002</v>
      </c>
      <c r="AG155" s="10">
        <v>765.05485164999982</v>
      </c>
      <c r="AH155" s="10">
        <v>27.826188990000002</v>
      </c>
      <c r="AI155" s="10">
        <v>89.413802670000052</v>
      </c>
    </row>
    <row r="156" spans="1:35" ht="15.75" x14ac:dyDescent="0.25">
      <c r="A156" s="13">
        <v>42064</v>
      </c>
      <c r="B156" s="10">
        <v>19581.408667099997</v>
      </c>
      <c r="C156" s="10">
        <v>1357.6133991000002</v>
      </c>
      <c r="D156" s="10">
        <v>24138.139446530004</v>
      </c>
      <c r="E156" s="10">
        <v>9770.8667535900004</v>
      </c>
      <c r="F156" s="10">
        <v>166.46174831000002</v>
      </c>
      <c r="G156" s="10">
        <v>6876.0075224500006</v>
      </c>
      <c r="H156" s="10">
        <v>1475.1474505199999</v>
      </c>
      <c r="I156" s="10">
        <v>842.22101834999989</v>
      </c>
      <c r="J156" s="10">
        <v>231.21283453999999</v>
      </c>
      <c r="K156" s="10">
        <v>2.5</v>
      </c>
      <c r="L156" s="10">
        <v>1</v>
      </c>
      <c r="M156" s="10">
        <v>1888.7549682399999</v>
      </c>
      <c r="N156" s="10">
        <v>399.28943385000002</v>
      </c>
      <c r="O156" s="10">
        <v>1209.42286939</v>
      </c>
      <c r="P156" s="10">
        <v>157.75887671999999</v>
      </c>
      <c r="Q156" s="10">
        <v>12.632367930000001</v>
      </c>
      <c r="R156" s="10">
        <v>450.65301247999997</v>
      </c>
      <c r="S156" s="10" t="s">
        <v>69</v>
      </c>
      <c r="T156" s="10">
        <v>440.20807701000001</v>
      </c>
      <c r="U156" s="10">
        <v>305.41557555999998</v>
      </c>
      <c r="V156" s="10">
        <v>4659.8973755000006</v>
      </c>
      <c r="W156" s="10">
        <v>2736.78224069</v>
      </c>
      <c r="X156" s="10">
        <v>56.506405359999995</v>
      </c>
      <c r="Y156" s="10">
        <v>3.2676999999999999E-4</v>
      </c>
      <c r="Z156" s="10">
        <v>9.2480237300000017</v>
      </c>
      <c r="AA156" s="10">
        <v>680.92235718000006</v>
      </c>
      <c r="AB156" s="10">
        <v>40.661039949999989</v>
      </c>
      <c r="AC156" s="10">
        <v>11420.960995970003</v>
      </c>
      <c r="AD156" s="10">
        <v>18464.488635659996</v>
      </c>
      <c r="AE156" s="10">
        <v>5953.0513929700001</v>
      </c>
      <c r="AF156" s="10">
        <v>3447.8533832899993</v>
      </c>
      <c r="AG156" s="10">
        <v>735.23702271999991</v>
      </c>
      <c r="AH156" s="10">
        <v>27.472487700000002</v>
      </c>
      <c r="AI156" s="10">
        <v>269.39167238999966</v>
      </c>
    </row>
    <row r="157" spans="1:35" ht="15.75" x14ac:dyDescent="0.25">
      <c r="A157" s="13">
        <v>42095</v>
      </c>
      <c r="B157" s="10">
        <v>20028.084048520002</v>
      </c>
      <c r="C157" s="10">
        <v>1297.07304957</v>
      </c>
      <c r="D157" s="10">
        <v>25226.00282967</v>
      </c>
      <c r="E157" s="10">
        <v>8375.6666989000005</v>
      </c>
      <c r="F157" s="10">
        <v>166.33165507999999</v>
      </c>
      <c r="G157" s="10">
        <v>7665.9073389700015</v>
      </c>
      <c r="H157" s="10">
        <v>1441.1096671099995</v>
      </c>
      <c r="I157" s="10">
        <v>960.20541147000006</v>
      </c>
      <c r="J157" s="10">
        <v>211.65710622000003</v>
      </c>
      <c r="K157" s="10">
        <v>12</v>
      </c>
      <c r="L157" s="10">
        <v>1350</v>
      </c>
      <c r="M157" s="10">
        <v>1982.9629900299999</v>
      </c>
      <c r="N157" s="10">
        <v>775.11751873000003</v>
      </c>
      <c r="O157" s="10">
        <v>1733.0294277399998</v>
      </c>
      <c r="P157" s="10">
        <v>164.76675167000002</v>
      </c>
      <c r="Q157" s="10">
        <v>13.535275580000002</v>
      </c>
      <c r="R157" s="10">
        <v>865.37226608000003</v>
      </c>
      <c r="S157" s="10" t="s">
        <v>69</v>
      </c>
      <c r="T157" s="10">
        <v>441.10564942999991</v>
      </c>
      <c r="U157" s="10">
        <v>313.84199138999998</v>
      </c>
      <c r="V157" s="10">
        <v>9290.2241451000009</v>
      </c>
      <c r="W157" s="10">
        <v>2197.4183425799997</v>
      </c>
      <c r="X157" s="10">
        <v>42.769737719999995</v>
      </c>
      <c r="Y157" s="10">
        <v>1.0493999999999998E-3</v>
      </c>
      <c r="Z157" s="10">
        <v>0.8624780700000001</v>
      </c>
      <c r="AA157" s="10">
        <v>585.06541908999998</v>
      </c>
      <c r="AB157" s="10">
        <v>44.587643350000008</v>
      </c>
      <c r="AC157" s="10">
        <v>11824.538359100001</v>
      </c>
      <c r="AD157" s="10">
        <v>17777.44366854</v>
      </c>
      <c r="AE157" s="10">
        <v>6129.2916420499987</v>
      </c>
      <c r="AF157" s="10">
        <v>3492.7555992100006</v>
      </c>
      <c r="AG157" s="10">
        <v>907.05737244999978</v>
      </c>
      <c r="AH157" s="10">
        <v>32.093922319999997</v>
      </c>
      <c r="AI157" s="10">
        <v>15.610211689999174</v>
      </c>
    </row>
    <row r="158" spans="1:35" ht="15.75" x14ac:dyDescent="0.25">
      <c r="A158" s="13">
        <v>42125</v>
      </c>
      <c r="B158" s="10">
        <v>43386.314837680002</v>
      </c>
      <c r="C158" s="10">
        <v>1532.36988787</v>
      </c>
      <c r="D158" s="10">
        <v>23482.044088500003</v>
      </c>
      <c r="E158" s="10">
        <v>9621.1616394499997</v>
      </c>
      <c r="F158" s="10">
        <v>327.07713746999997</v>
      </c>
      <c r="G158" s="10">
        <v>8171.807036690001</v>
      </c>
      <c r="H158" s="10">
        <v>1539.7392297299998</v>
      </c>
      <c r="I158" s="10">
        <v>796.34865191000006</v>
      </c>
      <c r="J158" s="10">
        <v>243.26336686000002</v>
      </c>
      <c r="K158" s="10">
        <v>655</v>
      </c>
      <c r="L158" s="10">
        <v>1750</v>
      </c>
      <c r="M158" s="10">
        <v>2215.9928054299999</v>
      </c>
      <c r="N158" s="10">
        <v>1014.97156387</v>
      </c>
      <c r="O158" s="10">
        <v>2099.8633973999999</v>
      </c>
      <c r="P158" s="10">
        <v>145.88423182</v>
      </c>
      <c r="Q158" s="10">
        <v>15.26673701</v>
      </c>
      <c r="R158" s="10">
        <v>4705.5298430700004</v>
      </c>
      <c r="S158" s="10" t="s">
        <v>69</v>
      </c>
      <c r="T158" s="10">
        <v>439.36321718000005</v>
      </c>
      <c r="U158" s="10">
        <v>371.57292891999998</v>
      </c>
      <c r="V158" s="10">
        <v>7951.1593842599996</v>
      </c>
      <c r="W158" s="10">
        <v>2816.2356418199997</v>
      </c>
      <c r="X158" s="10">
        <v>55.826832029999998</v>
      </c>
      <c r="Y158" s="10">
        <v>2.853E-5</v>
      </c>
      <c r="Z158" s="10">
        <v>1.2271939300000001</v>
      </c>
      <c r="AA158" s="10">
        <v>684.2364226599999</v>
      </c>
      <c r="AB158" s="10">
        <v>52.069331749999996</v>
      </c>
      <c r="AC158" s="10">
        <v>11932.218525019996</v>
      </c>
      <c r="AD158" s="10">
        <v>18170.88634126</v>
      </c>
      <c r="AE158" s="10">
        <v>5939.4176638600011</v>
      </c>
      <c r="AF158" s="10">
        <v>3488.1774402899991</v>
      </c>
      <c r="AG158" s="10">
        <v>803.85230939000007</v>
      </c>
      <c r="AH158" s="10">
        <v>25.748574009999999</v>
      </c>
      <c r="AI158" s="10">
        <v>-144.29571371000114</v>
      </c>
    </row>
    <row r="159" spans="1:35" ht="15.75" x14ac:dyDescent="0.25">
      <c r="A159" s="13">
        <v>42156</v>
      </c>
      <c r="B159" s="10">
        <v>41483.74065996</v>
      </c>
      <c r="C159" s="10">
        <v>1566.4399496599999</v>
      </c>
      <c r="D159" s="10">
        <v>24106.956597710003</v>
      </c>
      <c r="E159" s="10">
        <v>10447.09549215</v>
      </c>
      <c r="F159" s="10">
        <v>181.71038581999997</v>
      </c>
      <c r="G159" s="10">
        <v>7756.1584882900006</v>
      </c>
      <c r="H159" s="10">
        <v>1587.8105838899999</v>
      </c>
      <c r="I159" s="10">
        <v>796.45774016000007</v>
      </c>
      <c r="J159" s="10">
        <v>245.04013829000007</v>
      </c>
      <c r="K159" s="10">
        <v>501.7</v>
      </c>
      <c r="L159" s="10">
        <v>1200</v>
      </c>
      <c r="M159" s="10">
        <v>2663.33424904</v>
      </c>
      <c r="N159" s="10">
        <v>937.23491912999998</v>
      </c>
      <c r="O159" s="10">
        <v>2170.9671653800001</v>
      </c>
      <c r="P159" s="10">
        <v>155.89872803000003</v>
      </c>
      <c r="Q159" s="10">
        <v>15.480568029999999</v>
      </c>
      <c r="R159" s="10">
        <v>2445.6976493100001</v>
      </c>
      <c r="S159" s="10" t="s">
        <v>69</v>
      </c>
      <c r="T159" s="10">
        <v>479.40728188000003</v>
      </c>
      <c r="U159" s="10">
        <v>372.13462675999995</v>
      </c>
      <c r="V159" s="10">
        <v>10412.379247540001</v>
      </c>
      <c r="W159" s="10">
        <v>2822.5027382999997</v>
      </c>
      <c r="X159" s="10">
        <v>57.007082590000003</v>
      </c>
      <c r="Y159" s="10">
        <v>2.5409999999999999E-5</v>
      </c>
      <c r="Z159" s="10">
        <v>3.1315499400000002</v>
      </c>
      <c r="AA159" s="10">
        <v>760.87619210000003</v>
      </c>
      <c r="AB159" s="10">
        <v>50.806455849999999</v>
      </c>
      <c r="AC159" s="10">
        <v>12451.057507570004</v>
      </c>
      <c r="AD159" s="10">
        <v>18708.853148950002</v>
      </c>
      <c r="AE159" s="10">
        <v>6245.947213149997</v>
      </c>
      <c r="AF159" s="10">
        <v>3752.2924552300005</v>
      </c>
      <c r="AG159" s="10">
        <v>851.6325982599999</v>
      </c>
      <c r="AH159" s="10">
        <v>27.826000359999991</v>
      </c>
      <c r="AI159" s="10">
        <v>911.71127976999901</v>
      </c>
    </row>
    <row r="160" spans="1:35" ht="15.75" x14ac:dyDescent="0.25">
      <c r="A160" s="13">
        <v>42186</v>
      </c>
      <c r="B160" s="10">
        <v>31736.80424881</v>
      </c>
      <c r="C160" s="10">
        <v>1595.9375057999998</v>
      </c>
      <c r="D160" s="10">
        <v>25362.928645089996</v>
      </c>
      <c r="E160" s="10">
        <v>11055.470950819999</v>
      </c>
      <c r="F160" s="10">
        <v>193.91610451</v>
      </c>
      <c r="G160" s="10">
        <v>8827.5922315299995</v>
      </c>
      <c r="H160" s="10">
        <v>1450.3764507799999</v>
      </c>
      <c r="I160" s="10">
        <v>970.16776143000004</v>
      </c>
      <c r="J160" s="10">
        <v>230.93147124000001</v>
      </c>
      <c r="K160" s="10">
        <v>507.3</v>
      </c>
      <c r="L160" s="10">
        <v>1500</v>
      </c>
      <c r="M160" s="10">
        <v>2215.6560637600001</v>
      </c>
      <c r="N160" s="10">
        <v>644.08389996000005</v>
      </c>
      <c r="O160" s="10">
        <v>1997.1292247399997</v>
      </c>
      <c r="P160" s="10">
        <v>184.78832158000003</v>
      </c>
      <c r="Q160" s="10">
        <v>16.823264179999999</v>
      </c>
      <c r="R160" s="10">
        <v>1391.3227899599999</v>
      </c>
      <c r="S160" s="10" t="s">
        <v>69</v>
      </c>
      <c r="T160" s="10">
        <v>512.79828602999999</v>
      </c>
      <c r="U160" s="10">
        <v>420.58671899999996</v>
      </c>
      <c r="V160" s="10">
        <v>10756.07410949</v>
      </c>
      <c r="W160" s="10">
        <v>3176.3004738399995</v>
      </c>
      <c r="X160" s="10">
        <v>64.807989710000001</v>
      </c>
      <c r="Y160" s="10">
        <v>2.5409999999999999E-5</v>
      </c>
      <c r="Z160" s="10">
        <v>0.60103495000000007</v>
      </c>
      <c r="AA160" s="10">
        <v>799.97948355000028</v>
      </c>
      <c r="AB160" s="10">
        <v>41.673006149999999</v>
      </c>
      <c r="AC160" s="10">
        <v>18149.566688909992</v>
      </c>
      <c r="AD160" s="10">
        <v>27035.296237480001</v>
      </c>
      <c r="AE160" s="10">
        <v>9262.0799089799984</v>
      </c>
      <c r="AF160" s="10">
        <v>5245.4698655600005</v>
      </c>
      <c r="AG160" s="10">
        <v>987.66562697999984</v>
      </c>
      <c r="AH160" s="10">
        <v>27.844910789999997</v>
      </c>
      <c r="AI160" s="10">
        <v>148.71192404000001</v>
      </c>
    </row>
    <row r="161" spans="1:35" ht="15.75" x14ac:dyDescent="0.25">
      <c r="A161" s="13">
        <v>42217</v>
      </c>
      <c r="B161" s="10">
        <v>30732.876559349999</v>
      </c>
      <c r="C161" s="10">
        <v>1591.2457084099997</v>
      </c>
      <c r="D161" s="10">
        <v>28460.703237720001</v>
      </c>
      <c r="E161" s="10">
        <v>11085.44950948</v>
      </c>
      <c r="F161" s="10">
        <v>216.00628728000001</v>
      </c>
      <c r="G161" s="10">
        <v>8186.6857569299991</v>
      </c>
      <c r="H161" s="10">
        <v>1744.6552743000002</v>
      </c>
      <c r="I161" s="10">
        <v>964.19981818999986</v>
      </c>
      <c r="J161" s="10">
        <v>266.77399436000002</v>
      </c>
      <c r="K161" s="10">
        <v>311.2</v>
      </c>
      <c r="L161" s="10">
        <v>850</v>
      </c>
      <c r="M161" s="10">
        <v>2371.4426862099999</v>
      </c>
      <c r="N161" s="10">
        <v>840.10915907000003</v>
      </c>
      <c r="O161" s="10">
        <v>1921.0676744000002</v>
      </c>
      <c r="P161" s="10">
        <v>185.49259963</v>
      </c>
      <c r="Q161" s="10">
        <v>16.519894489999999</v>
      </c>
      <c r="R161" s="10">
        <v>1843.5998912599998</v>
      </c>
      <c r="S161" s="10" t="s">
        <v>69</v>
      </c>
      <c r="T161" s="10">
        <v>485.34011447</v>
      </c>
      <c r="U161" s="10">
        <v>443.28103233000002</v>
      </c>
      <c r="V161" s="10">
        <v>6592.4937561100005</v>
      </c>
      <c r="W161" s="10">
        <v>3022.4078115599996</v>
      </c>
      <c r="X161" s="10">
        <v>62.370577690000005</v>
      </c>
      <c r="Y161" s="10">
        <v>4.7196499999999997E-3</v>
      </c>
      <c r="Z161" s="10">
        <v>1.1850968200000003</v>
      </c>
      <c r="AA161" s="10">
        <v>795.10341099000004</v>
      </c>
      <c r="AB161" s="10">
        <v>43.367035950000002</v>
      </c>
      <c r="AC161" s="10">
        <v>13389.752247489998</v>
      </c>
      <c r="AD161" s="10">
        <v>20013.838135009995</v>
      </c>
      <c r="AE161" s="10">
        <v>6744.6658018099988</v>
      </c>
      <c r="AF161" s="10">
        <v>4072.0705447699997</v>
      </c>
      <c r="AG161" s="10">
        <v>988.38108202000001</v>
      </c>
      <c r="AH161" s="10">
        <v>28.073414659999997</v>
      </c>
      <c r="AI161" s="10">
        <v>-159.09926042000026</v>
      </c>
    </row>
    <row r="162" spans="1:35" ht="15.75" x14ac:dyDescent="0.25">
      <c r="A162" s="13">
        <v>42248</v>
      </c>
      <c r="B162" s="10">
        <v>28681.96195483</v>
      </c>
      <c r="C162" s="10">
        <v>1618.6461233800001</v>
      </c>
      <c r="D162" s="10">
        <v>28261.503595270002</v>
      </c>
      <c r="E162" s="10">
        <v>10660.251843679998</v>
      </c>
      <c r="F162" s="10">
        <v>214.11262161999997</v>
      </c>
      <c r="G162" s="10">
        <v>8741.7756829000009</v>
      </c>
      <c r="H162" s="10">
        <v>1601.9128426199998</v>
      </c>
      <c r="I162" s="10">
        <v>945.26959188000023</v>
      </c>
      <c r="J162" s="10">
        <v>252.24408628999996</v>
      </c>
      <c r="K162" s="10">
        <v>2.5</v>
      </c>
      <c r="L162" s="10">
        <v>26</v>
      </c>
      <c r="M162" s="10">
        <v>2491.5306315799999</v>
      </c>
      <c r="N162" s="10">
        <v>667.54720065000004</v>
      </c>
      <c r="O162" s="10">
        <v>1427.9434823399999</v>
      </c>
      <c r="P162" s="10">
        <v>170.43282446999996</v>
      </c>
      <c r="Q162" s="10">
        <v>18.257070440000003</v>
      </c>
      <c r="R162" s="10">
        <v>633.38599378000004</v>
      </c>
      <c r="S162" s="10" t="s">
        <v>69</v>
      </c>
      <c r="T162" s="10">
        <v>494.33056892000002</v>
      </c>
      <c r="U162" s="10">
        <v>412.43247066000004</v>
      </c>
      <c r="V162" s="10">
        <v>4716.0977099699994</v>
      </c>
      <c r="W162" s="10">
        <v>3099.4336697799995</v>
      </c>
      <c r="X162" s="10">
        <v>60.122780980000002</v>
      </c>
      <c r="Y162" s="10">
        <v>2.7604500000000002E-3</v>
      </c>
      <c r="Z162" s="10">
        <v>1.0453207899999994</v>
      </c>
      <c r="AA162" s="10">
        <v>793.76662635000002</v>
      </c>
      <c r="AB162" s="10">
        <v>43.328899230000012</v>
      </c>
      <c r="AC162" s="10">
        <v>13495.065808599995</v>
      </c>
      <c r="AD162" s="10">
        <v>20331.845806000001</v>
      </c>
      <c r="AE162" s="10">
        <v>6765.4331125000026</v>
      </c>
      <c r="AF162" s="10">
        <v>4066.3476697000001</v>
      </c>
      <c r="AG162" s="10">
        <v>1044.9261583100001</v>
      </c>
      <c r="AH162" s="10">
        <v>28.14454125</v>
      </c>
      <c r="AI162" s="10">
        <v>264.21433459999918</v>
      </c>
    </row>
    <row r="163" spans="1:35" ht="15.75" x14ac:dyDescent="0.25">
      <c r="A163" s="13">
        <v>42278</v>
      </c>
      <c r="B163" s="10">
        <v>31384.338607049998</v>
      </c>
      <c r="C163" s="10">
        <v>1649.1859237900001</v>
      </c>
      <c r="D163" s="10">
        <v>28745.09194731</v>
      </c>
      <c r="E163" s="10">
        <v>10838.44942787</v>
      </c>
      <c r="F163" s="10">
        <v>235.23003080000001</v>
      </c>
      <c r="G163" s="10">
        <v>8776.2020258100001</v>
      </c>
      <c r="H163" s="10">
        <v>1710.2619767799997</v>
      </c>
      <c r="I163" s="10">
        <v>1201.3531437300001</v>
      </c>
      <c r="J163" s="10">
        <v>261.72534939999997</v>
      </c>
      <c r="K163" s="10">
        <v>657</v>
      </c>
      <c r="L163" s="10">
        <v>0</v>
      </c>
      <c r="M163" s="10">
        <v>2102.73196826</v>
      </c>
      <c r="N163" s="10">
        <v>757.15393843000004</v>
      </c>
      <c r="O163" s="10">
        <v>1696.4039297100001</v>
      </c>
      <c r="P163" s="10">
        <v>175.33548239999999</v>
      </c>
      <c r="Q163" s="10">
        <v>14.786893040000001</v>
      </c>
      <c r="R163" s="10">
        <v>1760.6647309699999</v>
      </c>
      <c r="S163" s="10" t="s">
        <v>69</v>
      </c>
      <c r="T163" s="10">
        <v>512.78129159000002</v>
      </c>
      <c r="U163" s="10">
        <v>403.88528532000004</v>
      </c>
      <c r="V163" s="10">
        <v>5522.4476951500001</v>
      </c>
      <c r="W163" s="10">
        <v>3185.6749519399996</v>
      </c>
      <c r="X163" s="10">
        <v>63.800101229999989</v>
      </c>
      <c r="Y163" s="10">
        <v>1.41634964</v>
      </c>
      <c r="Z163" s="10">
        <v>1.5688488199999999</v>
      </c>
      <c r="AA163" s="10">
        <v>819.64464989999999</v>
      </c>
      <c r="AB163" s="10">
        <v>50.387845279999993</v>
      </c>
      <c r="AC163" s="10">
        <v>13840.271223569998</v>
      </c>
      <c r="AD163" s="10">
        <v>20609.945366409993</v>
      </c>
      <c r="AE163" s="10">
        <v>6860.3872441799986</v>
      </c>
      <c r="AF163" s="10">
        <v>4148.9454579399999</v>
      </c>
      <c r="AG163" s="10">
        <v>927.67844301000002</v>
      </c>
      <c r="AH163" s="10">
        <v>28.546326080000004</v>
      </c>
      <c r="AI163" s="10">
        <v>-111.4030272800005</v>
      </c>
    </row>
    <row r="164" spans="1:35" ht="15.75" x14ac:dyDescent="0.25">
      <c r="A164" s="13">
        <v>42309</v>
      </c>
      <c r="B164" s="10">
        <v>31457</v>
      </c>
      <c r="C164" s="10">
        <v>1566.2</v>
      </c>
      <c r="D164" s="10">
        <v>29144.7</v>
      </c>
      <c r="E164" s="10">
        <v>10353.200000000001</v>
      </c>
      <c r="F164" s="10">
        <v>205</v>
      </c>
      <c r="G164" s="10">
        <v>8664.2999999999993</v>
      </c>
      <c r="H164" s="10">
        <v>1889.3465518800001</v>
      </c>
      <c r="I164" s="10">
        <v>1039.4122696600002</v>
      </c>
      <c r="J164" s="10">
        <v>307.14713232999998</v>
      </c>
      <c r="K164" s="10">
        <v>603.29999999999995</v>
      </c>
      <c r="L164" s="10">
        <v>500</v>
      </c>
      <c r="M164" s="10">
        <v>2039.42323306</v>
      </c>
      <c r="N164" s="10">
        <v>828.60744564000004</v>
      </c>
      <c r="O164" s="10">
        <v>1657.9088695</v>
      </c>
      <c r="P164" s="10">
        <v>187.61353923999999</v>
      </c>
      <c r="Q164" s="10">
        <v>17.76643387</v>
      </c>
      <c r="R164" s="10">
        <v>564.5</v>
      </c>
      <c r="S164" s="10" t="s">
        <v>69</v>
      </c>
      <c r="T164" s="10">
        <v>491.09695263000003</v>
      </c>
      <c r="U164" s="10">
        <v>456.89536466999994</v>
      </c>
      <c r="V164" s="10">
        <v>3312.8</v>
      </c>
      <c r="W164" s="10">
        <v>3097.8794888700004</v>
      </c>
      <c r="X164" s="10">
        <v>59.950194800000006</v>
      </c>
      <c r="Y164" s="10">
        <v>2.5409999999999999E-5</v>
      </c>
      <c r="Z164" s="10">
        <v>4.1643563400000003</v>
      </c>
      <c r="AA164" s="10">
        <v>764.5923563099999</v>
      </c>
      <c r="AB164" s="10">
        <v>48.89148793999999</v>
      </c>
      <c r="AC164" s="10">
        <v>13865.33456635</v>
      </c>
      <c r="AD164" s="10">
        <v>20404.42931431</v>
      </c>
      <c r="AE164" s="10">
        <v>6904.8862778000012</v>
      </c>
      <c r="AF164" s="10">
        <v>4078.5225484200009</v>
      </c>
      <c r="AG164" s="10">
        <v>1092.43518948</v>
      </c>
      <c r="AH164" s="10">
        <v>22.101769740000002</v>
      </c>
      <c r="AI164" s="10">
        <v>-811.77973966000093</v>
      </c>
    </row>
    <row r="165" spans="1:35" ht="15.75" x14ac:dyDescent="0.25">
      <c r="A165" s="13">
        <v>42339</v>
      </c>
      <c r="B165" s="10">
        <v>36329.58379063</v>
      </c>
      <c r="C165" s="10">
        <v>1846.3192274600001</v>
      </c>
      <c r="D165" s="10">
        <v>30312.191720980001</v>
      </c>
      <c r="E165" s="10">
        <v>12990.032920329999</v>
      </c>
      <c r="F165" s="10">
        <v>236.07333424999999</v>
      </c>
      <c r="G165" s="10">
        <v>10048.717600579999</v>
      </c>
      <c r="H165" s="10">
        <v>2115.1878858399996</v>
      </c>
      <c r="I165" s="10">
        <v>1205.0584990500001</v>
      </c>
      <c r="J165" s="10">
        <v>315.84668806999997</v>
      </c>
      <c r="K165" s="10">
        <v>667</v>
      </c>
      <c r="L165" s="10">
        <v>1052</v>
      </c>
      <c r="M165" s="10">
        <v>1752.23410711</v>
      </c>
      <c r="N165" s="10">
        <v>1117.4651638299999</v>
      </c>
      <c r="O165" s="10">
        <v>1967.0354070899996</v>
      </c>
      <c r="P165" s="10">
        <v>213.65071508999998</v>
      </c>
      <c r="Q165" s="10">
        <v>13.26826762</v>
      </c>
      <c r="R165" s="10">
        <v>1778.59355478</v>
      </c>
      <c r="S165" s="10" t="s">
        <v>69</v>
      </c>
      <c r="T165" s="10">
        <v>518.46253829</v>
      </c>
      <c r="U165" s="10">
        <v>477.94975387</v>
      </c>
      <c r="V165" s="10">
        <v>5008.3533183599993</v>
      </c>
      <c r="W165" s="10">
        <v>3660.0538835100006</v>
      </c>
      <c r="X165" s="10">
        <v>71.022534739999998</v>
      </c>
      <c r="Y165" s="10">
        <v>1.5654039999999998E-2</v>
      </c>
      <c r="Z165" s="10">
        <v>1.9439658800000006</v>
      </c>
      <c r="AA165" s="10">
        <v>914.01864282999998</v>
      </c>
      <c r="AB165" s="10">
        <v>53.522522519999995</v>
      </c>
      <c r="AC165" s="10">
        <v>13913.757171259997</v>
      </c>
      <c r="AD165" s="10">
        <v>21061.471690179998</v>
      </c>
      <c r="AE165" s="10">
        <v>7132.3607989299999</v>
      </c>
      <c r="AF165" s="10">
        <v>4254.9195188700005</v>
      </c>
      <c r="AG165" s="10">
        <v>1162.6580760500003</v>
      </c>
      <c r="AH165" s="10">
        <v>27.683318960000001</v>
      </c>
      <c r="AI165" s="10">
        <v>545.39914252999938</v>
      </c>
    </row>
    <row r="166" spans="1:35" ht="15.75" x14ac:dyDescent="0.25">
      <c r="A166" s="13">
        <v>42370</v>
      </c>
      <c r="B166" s="10">
        <v>38578.362944130007</v>
      </c>
      <c r="C166" s="10">
        <v>2046.7328929800001</v>
      </c>
      <c r="D166" s="10">
        <v>32252.314934659997</v>
      </c>
      <c r="E166" s="10">
        <v>13551.908827599998</v>
      </c>
      <c r="F166" s="10">
        <v>210.49932915999997</v>
      </c>
      <c r="G166" s="10">
        <v>9609.6687638799995</v>
      </c>
      <c r="H166" s="10">
        <v>1974.0598537499995</v>
      </c>
      <c r="I166" s="10">
        <v>1340.99109806</v>
      </c>
      <c r="J166" s="10">
        <v>297.97260848999997</v>
      </c>
      <c r="K166" s="10">
        <v>142</v>
      </c>
      <c r="L166" s="10">
        <v>719</v>
      </c>
      <c r="M166" s="10">
        <v>1436.98645422</v>
      </c>
      <c r="N166" s="10">
        <v>394.34643505999998</v>
      </c>
      <c r="O166" s="10">
        <v>1014.87358182</v>
      </c>
      <c r="P166" s="10">
        <v>192.22980415999999</v>
      </c>
      <c r="Q166" s="10">
        <v>17.610631770000001</v>
      </c>
      <c r="R166" s="10">
        <v>409.65760193999995</v>
      </c>
      <c r="S166" s="10" t="s">
        <v>69</v>
      </c>
      <c r="T166" s="10">
        <v>499.07196318000001</v>
      </c>
      <c r="U166" s="10">
        <v>466.67038679999996</v>
      </c>
      <c r="V166" s="10">
        <v>4858.6638799599996</v>
      </c>
      <c r="W166" s="10">
        <v>3861.8653006300001</v>
      </c>
      <c r="X166" s="10">
        <v>74.626315930000018</v>
      </c>
      <c r="Y166" s="10">
        <v>0.27436675000000005</v>
      </c>
      <c r="Z166" s="10">
        <v>1.71741129</v>
      </c>
      <c r="AA166" s="10">
        <v>952.13297325000008</v>
      </c>
      <c r="AB166" s="10">
        <v>45.798645139999991</v>
      </c>
      <c r="AC166" s="10">
        <v>20105.855351370003</v>
      </c>
      <c r="AD166" s="10">
        <v>29537.145737750001</v>
      </c>
      <c r="AE166" s="10">
        <v>10387.917985710001</v>
      </c>
      <c r="AF166" s="10">
        <v>5989.2921626099987</v>
      </c>
      <c r="AG166" s="10">
        <v>798.29165411999986</v>
      </c>
      <c r="AH166" s="10">
        <v>27.272131660000003</v>
      </c>
      <c r="AI166" s="10">
        <v>124.3872451</v>
      </c>
    </row>
    <row r="167" spans="1:35" ht="15.75" x14ac:dyDescent="0.25">
      <c r="A167" s="13">
        <v>42401</v>
      </c>
      <c r="B167" s="10">
        <v>28294.165120319998</v>
      </c>
      <c r="C167" s="10">
        <v>2104.5167330599998</v>
      </c>
      <c r="D167" s="10">
        <v>28326.959233350004</v>
      </c>
      <c r="E167" s="10">
        <v>13379.80096135</v>
      </c>
      <c r="F167" s="10">
        <v>192.10013308999999</v>
      </c>
      <c r="G167" s="10">
        <v>8751.4556952399998</v>
      </c>
      <c r="H167" s="10">
        <v>1815.7165694399998</v>
      </c>
      <c r="I167" s="10">
        <v>1197.4876478400001</v>
      </c>
      <c r="J167" s="10">
        <v>287.70154809000007</v>
      </c>
      <c r="K167" s="10">
        <v>59</v>
      </c>
      <c r="L167" s="10">
        <v>526</v>
      </c>
      <c r="M167" s="10">
        <v>3258.7475940499999</v>
      </c>
      <c r="N167" s="10">
        <v>780.44114434999995</v>
      </c>
      <c r="O167" s="10">
        <v>1286.55932289</v>
      </c>
      <c r="P167" s="10">
        <v>200.76644422000001</v>
      </c>
      <c r="Q167" s="10">
        <v>14.361287730000001</v>
      </c>
      <c r="R167" s="10">
        <v>1477.08498685</v>
      </c>
      <c r="S167" s="10" t="s">
        <v>69</v>
      </c>
      <c r="T167" s="10">
        <v>530.59681954000007</v>
      </c>
      <c r="U167" s="10">
        <v>378.62819283999994</v>
      </c>
      <c r="V167" s="10">
        <v>3509.8786815400003</v>
      </c>
      <c r="W167" s="10">
        <v>3700.8001738299999</v>
      </c>
      <c r="X167" s="10">
        <v>73.434404170000008</v>
      </c>
      <c r="Y167" s="10">
        <v>3.557E-5</v>
      </c>
      <c r="Z167" s="10">
        <v>3.1082021799999997</v>
      </c>
      <c r="AA167" s="10">
        <v>987.16278862000013</v>
      </c>
      <c r="AB167" s="10">
        <v>48.360509750000006</v>
      </c>
      <c r="AC167" s="10">
        <v>14537.40746991</v>
      </c>
      <c r="AD167" s="10">
        <v>21916.395901289998</v>
      </c>
      <c r="AE167" s="10">
        <v>7971.7239118899988</v>
      </c>
      <c r="AF167" s="10">
        <v>4548.8962295900028</v>
      </c>
      <c r="AG167" s="10">
        <v>1002.9716133899999</v>
      </c>
      <c r="AH167" s="10">
        <v>29.702872150000005</v>
      </c>
      <c r="AI167" s="10">
        <v>-471.62350924999976</v>
      </c>
    </row>
    <row r="168" spans="1:35" ht="15.75" x14ac:dyDescent="0.25">
      <c r="A168" s="13">
        <v>42430</v>
      </c>
      <c r="B168" s="10">
        <v>21922.687418829999</v>
      </c>
      <c r="C168" s="10">
        <v>2531.3503898899999</v>
      </c>
      <c r="D168" s="10">
        <v>29835.997368089997</v>
      </c>
      <c r="E168" s="10">
        <v>16133.827065580001</v>
      </c>
      <c r="F168" s="10">
        <v>215.95191912000001</v>
      </c>
      <c r="G168" s="10">
        <v>9891.7365532200001</v>
      </c>
      <c r="H168" s="10">
        <v>1794.90323008</v>
      </c>
      <c r="I168" s="10">
        <v>1024.0185740700001</v>
      </c>
      <c r="J168" s="10">
        <v>279.57142751999999</v>
      </c>
      <c r="K168" s="10">
        <v>111</v>
      </c>
      <c r="L168" s="10">
        <v>1626</v>
      </c>
      <c r="M168" s="10">
        <v>1549.13156701</v>
      </c>
      <c r="N168" s="10">
        <v>828.49864088000004</v>
      </c>
      <c r="O168" s="10">
        <v>1185.1012420099999</v>
      </c>
      <c r="P168" s="10">
        <v>196.75400176999995</v>
      </c>
      <c r="Q168" s="10">
        <v>14.265102389999999</v>
      </c>
      <c r="R168" s="10">
        <v>355.03599737000002</v>
      </c>
      <c r="S168" s="10" t="s">
        <v>69</v>
      </c>
      <c r="T168" s="10">
        <v>549.08319211000014</v>
      </c>
      <c r="U168" s="10">
        <v>432.82315490999997</v>
      </c>
      <c r="V168" s="10">
        <v>6604.4889803900005</v>
      </c>
      <c r="W168" s="10">
        <v>4732.81210818</v>
      </c>
      <c r="X168" s="10">
        <v>93.892883040000001</v>
      </c>
      <c r="Y168" s="10">
        <v>3.557E-5</v>
      </c>
      <c r="Z168" s="10">
        <v>1.4837870600000005</v>
      </c>
      <c r="AA168" s="10">
        <v>1225.8367228100001</v>
      </c>
      <c r="AB168" s="10">
        <v>58.290414089999999</v>
      </c>
      <c r="AC168" s="10">
        <v>14421.97235319</v>
      </c>
      <c r="AD168" s="10">
        <v>22754.428200850005</v>
      </c>
      <c r="AE168" s="10">
        <v>7953.2933695199981</v>
      </c>
      <c r="AF168" s="10">
        <v>4782.8458533399989</v>
      </c>
      <c r="AG168" s="10">
        <v>1080.5449907500001</v>
      </c>
      <c r="AH168" s="10">
        <v>28.440735470000007</v>
      </c>
      <c r="AI168" s="10">
        <v>2356.8079816699997</v>
      </c>
    </row>
    <row r="169" spans="1:35" ht="15.75" x14ac:dyDescent="0.25">
      <c r="A169" s="13">
        <v>42461</v>
      </c>
      <c r="B169" s="10">
        <v>20572.013205750001</v>
      </c>
      <c r="C169" s="10">
        <v>2613.6864724500001</v>
      </c>
      <c r="D169" s="10">
        <v>33180.969660850002</v>
      </c>
      <c r="E169" s="10">
        <v>14983.17440648</v>
      </c>
      <c r="F169" s="10">
        <v>193.83840821000001</v>
      </c>
      <c r="G169" s="10">
        <v>10428.98299733</v>
      </c>
      <c r="H169" s="10">
        <v>1883.0203398599997</v>
      </c>
      <c r="I169" s="10">
        <v>1161.1080627599999</v>
      </c>
      <c r="J169" s="10">
        <v>290.80239175000003</v>
      </c>
      <c r="K169" s="10">
        <v>306</v>
      </c>
      <c r="L169" s="10">
        <v>1500</v>
      </c>
      <c r="M169" s="10">
        <v>2326.8260975500002</v>
      </c>
      <c r="N169" s="10">
        <v>853.46611829000005</v>
      </c>
      <c r="O169" s="10">
        <v>1888.0405042999996</v>
      </c>
      <c r="P169" s="10">
        <v>214.4939679</v>
      </c>
      <c r="Q169" s="10">
        <v>15.00494973</v>
      </c>
      <c r="R169" s="10">
        <v>1036.20655758</v>
      </c>
      <c r="S169" s="10" t="s">
        <v>69</v>
      </c>
      <c r="T169" s="10">
        <v>548.66248092000001</v>
      </c>
      <c r="U169" s="10">
        <v>461.04202009000005</v>
      </c>
      <c r="V169" s="10">
        <v>12787.236188000001</v>
      </c>
      <c r="W169" s="10">
        <v>4521.0510906199997</v>
      </c>
      <c r="X169" s="10">
        <v>86.639938139999998</v>
      </c>
      <c r="Y169" s="10">
        <v>3.557E-5</v>
      </c>
      <c r="Z169" s="10">
        <v>1.9872540100000005</v>
      </c>
      <c r="AA169" s="10">
        <v>1138.7599006799996</v>
      </c>
      <c r="AB169" s="10">
        <v>68.562517709999995</v>
      </c>
      <c r="AC169" s="10">
        <v>16069.368915340003</v>
      </c>
      <c r="AD169" s="10">
        <v>25527.638338860001</v>
      </c>
      <c r="AE169" s="10">
        <v>8011.259668560001</v>
      </c>
      <c r="AF169" s="10">
        <v>4678.4107035499983</v>
      </c>
      <c r="AG169" s="10">
        <v>1151.8300962000003</v>
      </c>
      <c r="AH169" s="10">
        <v>27.796256209999999</v>
      </c>
      <c r="AI169" s="10">
        <v>993.80264212000247</v>
      </c>
    </row>
    <row r="170" spans="1:35" ht="15.75" x14ac:dyDescent="0.25">
      <c r="A170" s="13">
        <v>42491</v>
      </c>
      <c r="B170" s="10">
        <v>41695.51071396999</v>
      </c>
      <c r="C170" s="10">
        <v>2625.3600333300001</v>
      </c>
      <c r="D170" s="10">
        <v>30904.338040539998</v>
      </c>
      <c r="E170" s="10">
        <v>15043.345413350002</v>
      </c>
      <c r="F170" s="10">
        <v>375.41415562000003</v>
      </c>
      <c r="G170" s="10">
        <v>10222.10604192</v>
      </c>
      <c r="H170" s="10">
        <v>2063.4016006299998</v>
      </c>
      <c r="I170" s="10">
        <v>855.87861070000008</v>
      </c>
      <c r="J170" s="10">
        <v>286.63816910000003</v>
      </c>
      <c r="K170" s="10">
        <v>160</v>
      </c>
      <c r="L170" s="10">
        <v>1687</v>
      </c>
      <c r="M170" s="10">
        <v>2365.8336154100002</v>
      </c>
      <c r="N170" s="10">
        <v>846.44096180999998</v>
      </c>
      <c r="O170" s="10">
        <v>2017.14231148</v>
      </c>
      <c r="P170" s="10">
        <v>193.36079197999999</v>
      </c>
      <c r="Q170" s="10">
        <v>13.833302770000001</v>
      </c>
      <c r="R170" s="10">
        <v>5758.3223997800005</v>
      </c>
      <c r="S170" s="10" t="s">
        <v>69</v>
      </c>
      <c r="T170" s="10">
        <v>533.52805433000003</v>
      </c>
      <c r="U170" s="10">
        <v>481.99520160000009</v>
      </c>
      <c r="V170" s="10">
        <v>7892.13143064</v>
      </c>
      <c r="W170" s="10">
        <v>4591.1735986100011</v>
      </c>
      <c r="X170" s="10">
        <v>86.597625859999994</v>
      </c>
      <c r="Y170" s="10">
        <v>1.82248E-3</v>
      </c>
      <c r="Z170" s="10">
        <v>2.4649978300000006</v>
      </c>
      <c r="AA170" s="10">
        <v>1128.5025803399999</v>
      </c>
      <c r="AB170" s="10">
        <v>62.104784880000004</v>
      </c>
      <c r="AC170" s="10">
        <v>16865.285051329996</v>
      </c>
      <c r="AD170" s="10">
        <v>25574.329322989997</v>
      </c>
      <c r="AE170" s="10">
        <v>8159.3991011700018</v>
      </c>
      <c r="AF170" s="10">
        <v>4893.322850290001</v>
      </c>
      <c r="AG170" s="10">
        <v>1163.05972531</v>
      </c>
      <c r="AH170" s="10">
        <v>29.72340285999999</v>
      </c>
      <c r="AI170" s="10">
        <v>621.56764643999861</v>
      </c>
    </row>
    <row r="171" spans="1:35" ht="15.75" x14ac:dyDescent="0.25">
      <c r="A171" s="13">
        <v>42522</v>
      </c>
      <c r="B171" s="10">
        <v>46448.251443590008</v>
      </c>
      <c r="C171" s="10">
        <v>2521.7054553900002</v>
      </c>
      <c r="D171" s="10">
        <v>33306.487191940003</v>
      </c>
      <c r="E171" s="10">
        <v>14825.26180763</v>
      </c>
      <c r="F171" s="10">
        <v>213.90303198000001</v>
      </c>
      <c r="G171" s="10">
        <v>11227.435062129998</v>
      </c>
      <c r="H171" s="10">
        <v>2798.1794868699999</v>
      </c>
      <c r="I171" s="10">
        <v>879.66224425999985</v>
      </c>
      <c r="J171" s="10">
        <v>341.91086326999999</v>
      </c>
      <c r="K171" s="10">
        <v>300</v>
      </c>
      <c r="L171" s="10">
        <v>2200</v>
      </c>
      <c r="M171" s="10">
        <v>2818.80657092</v>
      </c>
      <c r="N171" s="10">
        <v>1396.0374304500001</v>
      </c>
      <c r="O171" s="10">
        <v>3237.3187580999997</v>
      </c>
      <c r="P171" s="10">
        <v>224.33281786999999</v>
      </c>
      <c r="Q171" s="10">
        <v>13.656660139999998</v>
      </c>
      <c r="R171" s="10">
        <v>3160.8139381400006</v>
      </c>
      <c r="S171" s="10" t="s">
        <v>69</v>
      </c>
      <c r="T171" s="10">
        <v>573.84262460000002</v>
      </c>
      <c r="U171" s="10">
        <v>541.78139177000014</v>
      </c>
      <c r="V171" s="10">
        <v>4930.9934380899995</v>
      </c>
      <c r="W171" s="10">
        <v>4635.3525221999998</v>
      </c>
      <c r="X171" s="10">
        <v>88.478855679999995</v>
      </c>
      <c r="Y171" s="10">
        <v>0.13037929000000001</v>
      </c>
      <c r="Z171" s="10">
        <v>0.2291301</v>
      </c>
      <c r="AA171" s="10">
        <v>1135.1220386799998</v>
      </c>
      <c r="AB171" s="10">
        <v>49.021832920000001</v>
      </c>
      <c r="AC171" s="10">
        <v>17000.911895789999</v>
      </c>
      <c r="AD171" s="10">
        <v>25774.743358909996</v>
      </c>
      <c r="AE171" s="10">
        <v>8261.5216673899977</v>
      </c>
      <c r="AF171" s="10">
        <v>4871.1358095800015</v>
      </c>
      <c r="AG171" s="10">
        <v>1082.7903655300004</v>
      </c>
      <c r="AH171" s="10">
        <v>43.277870820000004</v>
      </c>
      <c r="AI171" s="10">
        <v>457.92389461000181</v>
      </c>
    </row>
    <row r="172" spans="1:35" ht="15.75" x14ac:dyDescent="0.25">
      <c r="A172" s="13">
        <v>42552</v>
      </c>
      <c r="B172" s="10">
        <v>33804.779689930001</v>
      </c>
      <c r="C172" s="10">
        <v>2416.43117175</v>
      </c>
      <c r="D172" s="10">
        <v>33455.028870959999</v>
      </c>
      <c r="E172" s="10">
        <v>14936.5790765</v>
      </c>
      <c r="F172" s="10">
        <v>440.89258007000001</v>
      </c>
      <c r="G172" s="10">
        <v>12019.70746594</v>
      </c>
      <c r="H172" s="10">
        <v>3044.8691859300006</v>
      </c>
      <c r="I172" s="10">
        <v>1117.34902259</v>
      </c>
      <c r="J172" s="10">
        <v>377.30743130999997</v>
      </c>
      <c r="K172" s="10">
        <v>739</v>
      </c>
      <c r="L172" s="10">
        <v>990</v>
      </c>
      <c r="M172" s="10">
        <v>3295.7265830000001</v>
      </c>
      <c r="N172" s="10">
        <v>1334.7396417800001</v>
      </c>
      <c r="O172" s="10">
        <v>3393.2867548200006</v>
      </c>
      <c r="P172" s="10">
        <v>279.17872514000004</v>
      </c>
      <c r="Q172" s="10">
        <v>14.010925789999998</v>
      </c>
      <c r="R172" s="10">
        <v>1742.58845793</v>
      </c>
      <c r="S172" s="10" t="s">
        <v>69</v>
      </c>
      <c r="T172" s="10">
        <v>616.14487319</v>
      </c>
      <c r="U172" s="10">
        <v>557.58132455999987</v>
      </c>
      <c r="V172" s="10">
        <v>7634.7537151400002</v>
      </c>
      <c r="W172" s="10">
        <v>4727.30951095</v>
      </c>
      <c r="X172" s="10">
        <v>89.10756665000001</v>
      </c>
      <c r="Y172" s="10">
        <v>0.20781683999999997</v>
      </c>
      <c r="Z172" s="10">
        <v>6.0062159999999993</v>
      </c>
      <c r="AA172" s="10">
        <v>1094.9799539100002</v>
      </c>
      <c r="AB172" s="10">
        <v>57.254447480000003</v>
      </c>
      <c r="AC172" s="10">
        <v>23258.314784080001</v>
      </c>
      <c r="AD172" s="10">
        <v>34189.805547709992</v>
      </c>
      <c r="AE172" s="10">
        <v>11842.377540740001</v>
      </c>
      <c r="AF172" s="10">
        <v>6592.7645036100012</v>
      </c>
      <c r="AG172" s="10">
        <v>1252.1200690899996</v>
      </c>
      <c r="AH172" s="10">
        <v>43.060513419999999</v>
      </c>
      <c r="AI172" s="10">
        <v>-401.69774317999901</v>
      </c>
    </row>
    <row r="173" spans="1:35" ht="15.75" x14ac:dyDescent="0.25">
      <c r="A173" s="13">
        <v>42583</v>
      </c>
      <c r="B173" s="10">
        <v>32214.866475579998</v>
      </c>
      <c r="C173" s="10">
        <v>2464.5945985200001</v>
      </c>
      <c r="D173" s="10">
        <v>34807.791340409996</v>
      </c>
      <c r="E173" s="10">
        <v>16377.797430839999</v>
      </c>
      <c r="F173" s="10">
        <v>284.66739900000005</v>
      </c>
      <c r="G173" s="10">
        <v>10798.285749709999</v>
      </c>
      <c r="H173" s="10">
        <v>3154.5189937000009</v>
      </c>
      <c r="I173" s="10">
        <v>1223.8320553799997</v>
      </c>
      <c r="J173" s="10">
        <v>387.63632912000008</v>
      </c>
      <c r="K173" s="10">
        <v>340</v>
      </c>
      <c r="L173" s="10">
        <v>1235</v>
      </c>
      <c r="M173" s="10">
        <v>3522.6824256999998</v>
      </c>
      <c r="N173" s="10">
        <v>1345.6364066799999</v>
      </c>
      <c r="O173" s="10">
        <v>2721.5289116099998</v>
      </c>
      <c r="P173" s="10">
        <v>343.44674385000002</v>
      </c>
      <c r="Q173" s="10">
        <v>16.394057069999999</v>
      </c>
      <c r="R173" s="10">
        <v>1710.1590328300001</v>
      </c>
      <c r="S173" s="10" t="s">
        <v>69</v>
      </c>
      <c r="T173" s="10">
        <v>590.86470607000012</v>
      </c>
      <c r="U173" s="10">
        <v>697.52318498</v>
      </c>
      <c r="V173" s="10">
        <v>4453.7876325899997</v>
      </c>
      <c r="W173" s="10">
        <v>4991.0370525300013</v>
      </c>
      <c r="X173" s="10">
        <v>93.386915879999989</v>
      </c>
      <c r="Y173" s="10">
        <v>3.557E-5</v>
      </c>
      <c r="Z173" s="10">
        <v>1.5982337200000001</v>
      </c>
      <c r="AA173" s="10">
        <v>1260.9243078899999</v>
      </c>
      <c r="AB173" s="10">
        <v>73.647432129999999</v>
      </c>
      <c r="AC173" s="10">
        <v>17345.870121490003</v>
      </c>
      <c r="AD173" s="10">
        <v>26873.353701249991</v>
      </c>
      <c r="AE173" s="10">
        <v>9111.8215050999988</v>
      </c>
      <c r="AF173" s="10">
        <v>5484.4721737700002</v>
      </c>
      <c r="AG173" s="10">
        <v>1316.5591387499999</v>
      </c>
      <c r="AH173" s="10">
        <v>45.746011639999999</v>
      </c>
      <c r="AI173" s="10">
        <v>991.83257193000065</v>
      </c>
    </row>
    <row r="174" spans="1:35" ht="15.75" x14ac:dyDescent="0.25">
      <c r="A174" s="13">
        <v>42614</v>
      </c>
      <c r="B174" s="10">
        <v>31985.756861320002</v>
      </c>
      <c r="C174" s="10">
        <v>2439.99329579</v>
      </c>
      <c r="D174" s="10">
        <v>38101.63557939</v>
      </c>
      <c r="E174" s="10">
        <v>16158.038654360002</v>
      </c>
      <c r="F174" s="10">
        <v>279.92730377999999</v>
      </c>
      <c r="G174" s="10">
        <v>12063.18395547</v>
      </c>
      <c r="H174" s="10">
        <v>3271.5604599599997</v>
      </c>
      <c r="I174" s="10">
        <v>1438.1251909399998</v>
      </c>
      <c r="J174" s="10">
        <v>389.12390462999997</v>
      </c>
      <c r="K174" s="10">
        <v>403</v>
      </c>
      <c r="L174" s="10">
        <v>1117</v>
      </c>
      <c r="M174" s="10">
        <v>2809.3383415399999</v>
      </c>
      <c r="N174" s="10">
        <v>974.66007234000006</v>
      </c>
      <c r="O174" s="10">
        <v>2252.0781398200002</v>
      </c>
      <c r="P174" s="10">
        <v>303.12109499000007</v>
      </c>
      <c r="Q174" s="10">
        <v>13.052763249999998</v>
      </c>
      <c r="R174" s="10">
        <v>517.43208516000004</v>
      </c>
      <c r="S174" s="10" t="s">
        <v>69</v>
      </c>
      <c r="T174" s="10">
        <v>583.61735334000014</v>
      </c>
      <c r="U174" s="10">
        <v>1007.20100343</v>
      </c>
      <c r="V174" s="10">
        <v>5172.16245764</v>
      </c>
      <c r="W174" s="10">
        <v>5214.0582156700002</v>
      </c>
      <c r="X174" s="10">
        <v>95.966662859999985</v>
      </c>
      <c r="Y174" s="10">
        <v>3.7383359999999997E-2</v>
      </c>
      <c r="Z174" s="10">
        <v>3.7831974799999992</v>
      </c>
      <c r="AA174" s="10">
        <v>1260.64855401</v>
      </c>
      <c r="AB174" s="10">
        <v>64.195866449999997</v>
      </c>
      <c r="AC174" s="10">
        <v>17533.033022449999</v>
      </c>
      <c r="AD174" s="10">
        <v>27614.772686790002</v>
      </c>
      <c r="AE174" s="10">
        <v>8990.946117190002</v>
      </c>
      <c r="AF174" s="10">
        <v>5364.5217193399994</v>
      </c>
      <c r="AG174" s="10">
        <v>1299.1248548299998</v>
      </c>
      <c r="AH174" s="10">
        <v>46.269231820000009</v>
      </c>
      <c r="AI174" s="10">
        <v>-400.339640940001</v>
      </c>
    </row>
    <row r="175" spans="1:35" ht="15.75" x14ac:dyDescent="0.25">
      <c r="A175" s="13">
        <v>42644</v>
      </c>
      <c r="B175" s="10">
        <v>33462.644480349998</v>
      </c>
      <c r="C175" s="10">
        <v>2222.7950923600001</v>
      </c>
      <c r="D175" s="10">
        <v>34609.793575429998</v>
      </c>
      <c r="E175" s="10">
        <v>15209.621878670001</v>
      </c>
      <c r="F175" s="10">
        <v>306.43599733999997</v>
      </c>
      <c r="G175" s="10">
        <v>11236.96597234</v>
      </c>
      <c r="H175" s="10">
        <v>3506.9018815000004</v>
      </c>
      <c r="I175" s="10">
        <v>1424.4142389599999</v>
      </c>
      <c r="J175" s="10">
        <v>413.9514894699999</v>
      </c>
      <c r="K175" s="10">
        <v>565</v>
      </c>
      <c r="L175" s="10">
        <v>1375</v>
      </c>
      <c r="M175" s="10">
        <v>2902.4359238100001</v>
      </c>
      <c r="N175" s="10">
        <v>1157.4870509499999</v>
      </c>
      <c r="O175" s="10">
        <v>2045.7914831999999</v>
      </c>
      <c r="P175" s="10">
        <v>296.46038985000001</v>
      </c>
      <c r="Q175" s="10">
        <v>14.5843255</v>
      </c>
      <c r="R175" s="10">
        <v>1547.38675027</v>
      </c>
      <c r="S175" s="10" t="s">
        <v>69</v>
      </c>
      <c r="T175" s="10">
        <v>608.90401831999986</v>
      </c>
      <c r="U175" s="10">
        <v>3610.0394865800004</v>
      </c>
      <c r="V175" s="10">
        <v>4688.65865493</v>
      </c>
      <c r="W175" s="10">
        <v>4763.3012133000002</v>
      </c>
      <c r="X175" s="10">
        <v>90.731766899999997</v>
      </c>
      <c r="Y175" s="10">
        <v>1.3694E-4</v>
      </c>
      <c r="Z175" s="10">
        <v>11.68885006</v>
      </c>
      <c r="AA175" s="10">
        <v>1138.7075621699998</v>
      </c>
      <c r="AB175" s="10">
        <v>58.611285630000005</v>
      </c>
      <c r="AC175" s="10">
        <v>17993.975605620006</v>
      </c>
      <c r="AD175" s="10">
        <v>27425.049796729996</v>
      </c>
      <c r="AE175" s="10">
        <v>9040.30930954</v>
      </c>
      <c r="AF175" s="10">
        <v>5303.9565357799993</v>
      </c>
      <c r="AG175" s="10">
        <v>1282.1976053499998</v>
      </c>
      <c r="AH175" s="10">
        <v>44.908014650000005</v>
      </c>
      <c r="AI175" s="10">
        <v>-403.80478571000003</v>
      </c>
    </row>
    <row r="176" spans="1:35" ht="15.75" x14ac:dyDescent="0.25">
      <c r="A176" s="13">
        <v>42675</v>
      </c>
      <c r="B176" s="10">
        <v>35274.221061309996</v>
      </c>
      <c r="C176" s="10">
        <v>2239.8698563900002</v>
      </c>
      <c r="D176" s="10">
        <v>37483.65969285</v>
      </c>
      <c r="E176" s="10">
        <v>15551.04624543</v>
      </c>
      <c r="F176" s="10">
        <v>256.79682479999997</v>
      </c>
      <c r="G176" s="10">
        <v>12413.078658290002</v>
      </c>
      <c r="H176" s="10">
        <v>3462.8760987300006</v>
      </c>
      <c r="I176" s="10">
        <v>1263.83096292</v>
      </c>
      <c r="J176" s="10">
        <v>417.73809171999994</v>
      </c>
      <c r="K176" s="10">
        <v>673</v>
      </c>
      <c r="L176" s="10">
        <v>1800</v>
      </c>
      <c r="M176" s="10">
        <v>2685.3629906000001</v>
      </c>
      <c r="N176" s="10">
        <v>1269.4008276899999</v>
      </c>
      <c r="O176" s="10">
        <v>2171.3886945499999</v>
      </c>
      <c r="P176" s="10">
        <v>326.26646349000004</v>
      </c>
      <c r="Q176" s="10">
        <v>18.277138660000002</v>
      </c>
      <c r="R176" s="10">
        <v>436.59003777000004</v>
      </c>
      <c r="S176" s="10" t="s">
        <v>69</v>
      </c>
      <c r="T176" s="10">
        <v>618.62046285999998</v>
      </c>
      <c r="U176" s="10">
        <v>13572.73243256</v>
      </c>
      <c r="V176" s="10">
        <v>5069.84305984</v>
      </c>
      <c r="W176" s="10">
        <v>4492.3594375000002</v>
      </c>
      <c r="X176" s="10">
        <v>89.914604080000004</v>
      </c>
      <c r="Y176" s="10">
        <v>0.19642219</v>
      </c>
      <c r="Z176" s="10">
        <v>1.116387</v>
      </c>
      <c r="AA176" s="10">
        <v>1230.0683235900001</v>
      </c>
      <c r="AB176" s="10">
        <v>64.639938900000004</v>
      </c>
      <c r="AC176" s="10">
        <v>18666.98331259</v>
      </c>
      <c r="AD176" s="10">
        <v>28450.318004150005</v>
      </c>
      <c r="AE176" s="10">
        <v>9361.3072032100008</v>
      </c>
      <c r="AF176" s="10">
        <v>5598.13263895</v>
      </c>
      <c r="AG176" s="10">
        <v>1285.2043175000003</v>
      </c>
      <c r="AH176" s="10">
        <v>45.881786150000011</v>
      </c>
      <c r="AI176" s="10">
        <v>-1313.8930928999987</v>
      </c>
    </row>
    <row r="177" spans="1:35" ht="15.75" x14ac:dyDescent="0.25">
      <c r="A177" s="13">
        <v>42705</v>
      </c>
      <c r="B177" s="10">
        <v>40096.708573700002</v>
      </c>
      <c r="C177" s="10">
        <v>2330.1500534899997</v>
      </c>
      <c r="D177" s="10">
        <v>39854.850681380005</v>
      </c>
      <c r="E177" s="10">
        <v>16878.708408030005</v>
      </c>
      <c r="F177" s="10">
        <v>275.90495522999993</v>
      </c>
      <c r="G177" s="10">
        <v>13006.472067120001</v>
      </c>
      <c r="H177" s="10">
        <v>3885.4106234000005</v>
      </c>
      <c r="I177" s="10">
        <v>1409.3242926400001</v>
      </c>
      <c r="J177" s="10">
        <v>467.48940009</v>
      </c>
      <c r="K177" s="10">
        <v>2134</v>
      </c>
      <c r="L177" s="10">
        <v>208</v>
      </c>
      <c r="M177" s="10">
        <v>3151.5710845200001</v>
      </c>
      <c r="N177" s="10">
        <v>2062.1614252300001</v>
      </c>
      <c r="O177" s="10">
        <v>3632.7423507900007</v>
      </c>
      <c r="P177" s="10">
        <v>493.43668323999998</v>
      </c>
      <c r="Q177" s="10">
        <v>22.451964049999997</v>
      </c>
      <c r="R177" s="10">
        <v>1389.4462867700001</v>
      </c>
      <c r="S177" s="10" t="s">
        <v>69</v>
      </c>
      <c r="T177" s="10">
        <v>620.10121259999983</v>
      </c>
      <c r="U177" s="10">
        <v>91107.463392079997</v>
      </c>
      <c r="V177" s="10">
        <v>3906.5290637899998</v>
      </c>
      <c r="W177" s="10">
        <v>5074.0133123300002</v>
      </c>
      <c r="X177" s="10">
        <v>96.737946570000005</v>
      </c>
      <c r="Y177" s="10">
        <v>2.596975E-2</v>
      </c>
      <c r="Z177" s="10">
        <v>3.3066635400000002</v>
      </c>
      <c r="AA177" s="10">
        <v>1294.23400883</v>
      </c>
      <c r="AB177" s="10">
        <v>52.633016380000001</v>
      </c>
      <c r="AC177" s="10">
        <v>18944.468450699998</v>
      </c>
      <c r="AD177" s="10">
        <v>28596.791009539997</v>
      </c>
      <c r="AE177" s="10">
        <v>9573.8642780599966</v>
      </c>
      <c r="AF177" s="10">
        <v>5703.1516504499996</v>
      </c>
      <c r="AG177" s="10">
        <v>1325.10747823</v>
      </c>
      <c r="AH177" s="10">
        <v>46.557133229999998</v>
      </c>
      <c r="AI177" s="10">
        <v>1396.8395114700004</v>
      </c>
    </row>
    <row r="178" spans="1:35" ht="15.75" x14ac:dyDescent="0.25">
      <c r="A178" s="13">
        <v>42736</v>
      </c>
      <c r="B178" s="10">
        <v>41305.900813529996</v>
      </c>
      <c r="C178" s="10">
        <v>2197.61705063</v>
      </c>
      <c r="D178" s="10">
        <v>44255.070556579994</v>
      </c>
      <c r="E178" s="10">
        <v>16051.809727150001</v>
      </c>
      <c r="F178" s="10">
        <v>105.22783362999999</v>
      </c>
      <c r="G178" s="10">
        <v>13058.8918385</v>
      </c>
      <c r="H178" s="10">
        <v>4228.7628182600001</v>
      </c>
      <c r="I178" s="10">
        <v>1746.4093415300003</v>
      </c>
      <c r="J178" s="10">
        <v>519.15681541999993</v>
      </c>
      <c r="K178" s="10">
        <v>1761</v>
      </c>
      <c r="L178" s="10">
        <v>1661</v>
      </c>
      <c r="M178" s="10">
        <v>2650.48212629</v>
      </c>
      <c r="N178" s="10">
        <v>982.83170230999997</v>
      </c>
      <c r="O178" s="10">
        <v>977.47866310999984</v>
      </c>
      <c r="P178" s="10">
        <v>140.86281555999997</v>
      </c>
      <c r="Q178" s="10">
        <v>22.15343897</v>
      </c>
      <c r="R178" s="10">
        <v>431.68750560999996</v>
      </c>
      <c r="S178" s="10" t="s">
        <v>69</v>
      </c>
      <c r="T178" s="10">
        <v>531.80249074999995</v>
      </c>
      <c r="U178" s="10">
        <v>8400.3068918999998</v>
      </c>
      <c r="V178" s="10">
        <v>6102.5028747200004</v>
      </c>
      <c r="W178" s="10">
        <v>5059.1285222100005</v>
      </c>
      <c r="X178" s="10">
        <v>93.391572679999996</v>
      </c>
      <c r="Y178" s="10">
        <v>6.232E-5</v>
      </c>
      <c r="Z178" s="10">
        <v>0.19841392000000002</v>
      </c>
      <c r="AA178" s="10">
        <v>1206.5426686799999</v>
      </c>
      <c r="AB178" s="10">
        <v>47.982763080000005</v>
      </c>
      <c r="AC178" s="10">
        <v>26471.574095680004</v>
      </c>
      <c r="AD178" s="10">
        <v>39006.440722620013</v>
      </c>
      <c r="AE178" s="10">
        <v>13994.826593409998</v>
      </c>
      <c r="AF178" s="10">
        <v>8073.8483757599979</v>
      </c>
      <c r="AG178" s="10">
        <v>1402.21869818</v>
      </c>
      <c r="AH178" s="10">
        <v>45.124376489999989</v>
      </c>
      <c r="AI178" s="10">
        <v>256.76558342999942</v>
      </c>
    </row>
    <row r="179" spans="1:35" ht="15.75" x14ac:dyDescent="0.25">
      <c r="A179" s="13">
        <v>42767</v>
      </c>
      <c r="B179" s="10">
        <v>33355.428984660008</v>
      </c>
      <c r="C179" s="10">
        <v>1990.4295882700001</v>
      </c>
      <c r="D179" s="10">
        <v>40082.123529210003</v>
      </c>
      <c r="E179" s="10">
        <v>14714.799871010002</v>
      </c>
      <c r="F179" s="10">
        <v>226.96634834</v>
      </c>
      <c r="G179" s="10">
        <v>12721.258838289999</v>
      </c>
      <c r="H179" s="10">
        <v>3664.2226167700005</v>
      </c>
      <c r="I179" s="10">
        <v>1492.0918358199999</v>
      </c>
      <c r="J179" s="10">
        <v>420.76517995</v>
      </c>
      <c r="K179" s="10">
        <v>1675</v>
      </c>
      <c r="L179" s="10">
        <v>1265</v>
      </c>
      <c r="M179" s="10">
        <v>2735.01015233</v>
      </c>
      <c r="N179" s="10">
        <v>1219.81569098</v>
      </c>
      <c r="O179" s="10">
        <v>1689.90474509</v>
      </c>
      <c r="P179" s="10">
        <v>273.45935187999999</v>
      </c>
      <c r="Q179" s="10">
        <v>15.195645809999998</v>
      </c>
      <c r="R179" s="10">
        <v>1250.4997731000001</v>
      </c>
      <c r="S179" s="10" t="s">
        <v>69</v>
      </c>
      <c r="T179" s="10">
        <v>805.69739168000012</v>
      </c>
      <c r="U179" s="10">
        <v>2016.34277445</v>
      </c>
      <c r="V179" s="10">
        <v>1071.73081146</v>
      </c>
      <c r="W179" s="10">
        <v>4176.5400315900006</v>
      </c>
      <c r="X179" s="10">
        <v>79.34224261</v>
      </c>
      <c r="Y179" s="10">
        <v>6.232E-5</v>
      </c>
      <c r="Z179" s="10">
        <v>0.22638885000000009</v>
      </c>
      <c r="AA179" s="10">
        <v>1101.3657584300001</v>
      </c>
      <c r="AB179" s="10">
        <v>48.752049650000011</v>
      </c>
      <c r="AC179" s="10">
        <v>19961.904937180003</v>
      </c>
      <c r="AD179" s="10">
        <v>31158.07100964</v>
      </c>
      <c r="AE179" s="10">
        <v>10450.688286050003</v>
      </c>
      <c r="AF179" s="10">
        <v>6070.184380220001</v>
      </c>
      <c r="AG179" s="10">
        <v>1414.6581256000002</v>
      </c>
      <c r="AH179" s="10">
        <v>43.01059455</v>
      </c>
      <c r="AI179" s="10">
        <v>274.78907911000044</v>
      </c>
    </row>
    <row r="180" spans="1:35" ht="15.75" x14ac:dyDescent="0.25">
      <c r="A180" s="13">
        <v>42795</v>
      </c>
      <c r="B180" s="10">
        <v>30342.706291089999</v>
      </c>
      <c r="C180" s="10">
        <v>2600.2907202900001</v>
      </c>
      <c r="D180" s="10">
        <v>36602.591876820006</v>
      </c>
      <c r="E180" s="10">
        <v>19203.113779029998</v>
      </c>
      <c r="F180" s="10">
        <v>316.61882377000001</v>
      </c>
      <c r="G180" s="10">
        <v>12359.63916051</v>
      </c>
      <c r="H180" s="10">
        <v>3533.145600530001</v>
      </c>
      <c r="I180" s="10">
        <v>1507.4225231400005</v>
      </c>
      <c r="J180" s="10">
        <v>429.45121397999998</v>
      </c>
      <c r="K180" s="10">
        <v>2400</v>
      </c>
      <c r="L180" s="10">
        <v>1327.09650898</v>
      </c>
      <c r="M180" s="10">
        <v>3603.05785418</v>
      </c>
      <c r="N180" s="10">
        <v>1132.04003072</v>
      </c>
      <c r="O180" s="10">
        <v>1657.8962429699998</v>
      </c>
      <c r="P180" s="10">
        <v>350.72320032999988</v>
      </c>
      <c r="Q180" s="10">
        <v>13.626577049999998</v>
      </c>
      <c r="R180" s="10">
        <v>473.07194186000004</v>
      </c>
      <c r="S180" s="10" t="s">
        <v>69</v>
      </c>
      <c r="T180" s="10">
        <v>861.49217444999977</v>
      </c>
      <c r="U180" s="10">
        <v>28591.338464170003</v>
      </c>
      <c r="V180" s="10">
        <v>6138.3750691499999</v>
      </c>
      <c r="W180" s="10">
        <v>5418.7817015000001</v>
      </c>
      <c r="X180" s="10">
        <v>106.05309340000002</v>
      </c>
      <c r="Y180" s="10">
        <v>1.0451829999999999E-2</v>
      </c>
      <c r="Z180" s="10">
        <v>8.6193270000000002E-2</v>
      </c>
      <c r="AA180" s="10">
        <v>1477.6375829900001</v>
      </c>
      <c r="AB180" s="10">
        <v>69.689670489999983</v>
      </c>
      <c r="AC180" s="10">
        <v>20550.96209972</v>
      </c>
      <c r="AD180" s="10">
        <v>31970.833428589987</v>
      </c>
      <c r="AE180" s="10">
        <v>10584.044549179998</v>
      </c>
      <c r="AF180" s="10">
        <v>6281.5292280600006</v>
      </c>
      <c r="AG180" s="10">
        <v>1782.9236875099996</v>
      </c>
      <c r="AH180" s="10">
        <v>47.666043459999997</v>
      </c>
      <c r="AI180" s="10">
        <v>8300.2132184900001</v>
      </c>
    </row>
    <row r="181" spans="1:35" ht="15.75" x14ac:dyDescent="0.25">
      <c r="A181" s="13">
        <v>42826</v>
      </c>
      <c r="B181" s="10">
        <v>27054.679334260003</v>
      </c>
      <c r="C181" s="10">
        <v>2549.3088561600002</v>
      </c>
      <c r="D181" s="10">
        <v>44238.521757230003</v>
      </c>
      <c r="E181" s="10">
        <v>16861.225066750001</v>
      </c>
      <c r="F181" s="10">
        <v>394.18629656999997</v>
      </c>
      <c r="G181" s="10">
        <v>12676.87266467</v>
      </c>
      <c r="H181" s="10">
        <v>3793.3310533299996</v>
      </c>
      <c r="I181" s="10">
        <v>1771.2730306099998</v>
      </c>
      <c r="J181" s="10">
        <v>482.21444332999994</v>
      </c>
      <c r="K181" s="10">
        <v>1000</v>
      </c>
      <c r="L181" s="10">
        <v>1500</v>
      </c>
      <c r="M181" s="10">
        <v>4755.3235938400003</v>
      </c>
      <c r="N181" s="10">
        <v>2452.77326954</v>
      </c>
      <c r="O181" s="10">
        <v>3435.5382779000001</v>
      </c>
      <c r="P181" s="10">
        <v>348.72728476000003</v>
      </c>
      <c r="Q181" s="10">
        <v>13.41636669</v>
      </c>
      <c r="R181" s="10">
        <v>1233.1742374600001</v>
      </c>
      <c r="S181" s="10" t="s">
        <v>69</v>
      </c>
      <c r="T181" s="10">
        <v>776.66413773999989</v>
      </c>
      <c r="U181" s="10">
        <v>4489.2752305299991</v>
      </c>
      <c r="V181" s="10">
        <v>9053.9084549599993</v>
      </c>
      <c r="W181" s="10">
        <v>4690.5854783700006</v>
      </c>
      <c r="X181" s="10">
        <v>93.939100440000004</v>
      </c>
      <c r="Y181" s="10">
        <v>1.0209340000000001E-2</v>
      </c>
      <c r="Z181" s="10">
        <v>0.73625171999999983</v>
      </c>
      <c r="AA181" s="10">
        <v>1396.5159342999996</v>
      </c>
      <c r="AB181" s="10">
        <v>70.985049559999993</v>
      </c>
      <c r="AC181" s="10">
        <v>21138.95391212</v>
      </c>
      <c r="AD181" s="10">
        <v>34278.486558449993</v>
      </c>
      <c r="AE181" s="10">
        <v>10582.15132304</v>
      </c>
      <c r="AF181" s="10">
        <v>6033.9126899900011</v>
      </c>
      <c r="AG181" s="10">
        <v>1455.00721464</v>
      </c>
      <c r="AH181" s="10">
        <v>58.625028820000004</v>
      </c>
      <c r="AI181" s="10">
        <v>-6212.2017711000008</v>
      </c>
    </row>
    <row r="182" spans="1:35" ht="15.75" x14ac:dyDescent="0.25">
      <c r="A182" s="13">
        <v>42856</v>
      </c>
      <c r="B182" s="10">
        <v>49290.162834260002</v>
      </c>
      <c r="C182" s="10">
        <v>2987.3150174900002</v>
      </c>
      <c r="D182" s="10">
        <v>41823.122576150003</v>
      </c>
      <c r="E182" s="10">
        <v>19311.761361550001</v>
      </c>
      <c r="F182" s="10">
        <v>416.42813383999999</v>
      </c>
      <c r="G182" s="10">
        <v>13338.076778670002</v>
      </c>
      <c r="H182" s="10">
        <v>3488.5510592800006</v>
      </c>
      <c r="I182" s="10">
        <v>1464.5358301700003</v>
      </c>
      <c r="J182" s="10">
        <v>457.95712300000002</v>
      </c>
      <c r="K182" s="10">
        <v>1400</v>
      </c>
      <c r="L182" s="10">
        <v>2500</v>
      </c>
      <c r="M182" s="10">
        <v>4300.6923829899997</v>
      </c>
      <c r="N182" s="10">
        <v>1718.8698340999999</v>
      </c>
      <c r="O182" s="10">
        <v>2731.7999399800005</v>
      </c>
      <c r="P182" s="10">
        <v>275.37654719999995</v>
      </c>
      <c r="Q182" s="10">
        <v>18.410776569999999</v>
      </c>
      <c r="R182" s="10">
        <v>563.72150510000006</v>
      </c>
      <c r="S182" s="10" t="s">
        <v>69</v>
      </c>
      <c r="T182" s="10">
        <v>838.49016842000003</v>
      </c>
      <c r="U182" s="10">
        <v>1412.62144079</v>
      </c>
      <c r="V182" s="10">
        <v>6789.6339264100006</v>
      </c>
      <c r="W182" s="10">
        <v>5255.2129034100008</v>
      </c>
      <c r="X182" s="10">
        <v>105.22109134000002</v>
      </c>
      <c r="Y182" s="10">
        <v>6.232E-5</v>
      </c>
      <c r="Z182" s="10">
        <v>3.0105010000000005E-2</v>
      </c>
      <c r="AA182" s="10">
        <v>1567.3074657799998</v>
      </c>
      <c r="AB182" s="10">
        <v>77.032369559999992</v>
      </c>
      <c r="AC182" s="10">
        <v>21500.139967760002</v>
      </c>
      <c r="AD182" s="10">
        <v>33032.915234909997</v>
      </c>
      <c r="AE182" s="10">
        <v>10848.413614299998</v>
      </c>
      <c r="AF182" s="10">
        <v>6214.0256821700004</v>
      </c>
      <c r="AG182" s="10">
        <v>2001.7003399700004</v>
      </c>
      <c r="AH182" s="10">
        <v>62.176380429999995</v>
      </c>
      <c r="AI182" s="10">
        <v>-1199.2060059599999</v>
      </c>
    </row>
    <row r="183" spans="1:35" ht="15.75" x14ac:dyDescent="0.25">
      <c r="A183" s="13">
        <v>42887</v>
      </c>
      <c r="B183" s="10">
        <v>59146.71294025</v>
      </c>
      <c r="C183" s="10">
        <v>2972.8601453600004</v>
      </c>
      <c r="D183" s="10">
        <v>43172.398412329996</v>
      </c>
      <c r="E183" s="10">
        <v>20036.643288830001</v>
      </c>
      <c r="F183" s="10">
        <v>343.80775546999996</v>
      </c>
      <c r="G183" s="10">
        <v>14385.35943835</v>
      </c>
      <c r="H183" s="10">
        <v>3738.1003659200001</v>
      </c>
      <c r="I183" s="10">
        <v>1675.3038057700001</v>
      </c>
      <c r="J183" s="10">
        <v>426.48121008000004</v>
      </c>
      <c r="K183" s="10">
        <v>1100</v>
      </c>
      <c r="L183" s="10">
        <v>2300</v>
      </c>
      <c r="M183" s="10">
        <v>3961.1225511299999</v>
      </c>
      <c r="N183" s="10">
        <v>1967.8611730099999</v>
      </c>
      <c r="O183" s="10">
        <v>3329.8701147500001</v>
      </c>
      <c r="P183" s="10">
        <v>337.51648963999997</v>
      </c>
      <c r="Q183" s="10">
        <v>15.752418340000002</v>
      </c>
      <c r="R183" s="10">
        <v>4742.6452781899998</v>
      </c>
      <c r="S183" s="10" t="s">
        <v>69</v>
      </c>
      <c r="T183" s="10">
        <v>833.86422249999987</v>
      </c>
      <c r="U183" s="10">
        <v>907.48156458000028</v>
      </c>
      <c r="V183" s="10">
        <v>5468.7017321500007</v>
      </c>
      <c r="W183" s="10">
        <v>5630.7194768900008</v>
      </c>
      <c r="X183" s="10">
        <v>112.01567979000002</v>
      </c>
      <c r="Y183" s="10">
        <v>6.232E-5</v>
      </c>
      <c r="Z183" s="10">
        <v>0.18041482000000003</v>
      </c>
      <c r="AA183" s="10">
        <v>1579.6587318799998</v>
      </c>
      <c r="AB183" s="10">
        <v>63.997343219999998</v>
      </c>
      <c r="AC183" s="10">
        <v>21391.998707580002</v>
      </c>
      <c r="AD183" s="10">
        <v>32402.426278479998</v>
      </c>
      <c r="AE183" s="10">
        <v>10717.487167780002</v>
      </c>
      <c r="AF183" s="10">
        <v>6085.8064309700003</v>
      </c>
      <c r="AG183" s="10">
        <v>1663.6914606499997</v>
      </c>
      <c r="AH183" s="10">
        <v>59.917567730000002</v>
      </c>
      <c r="AI183" s="10">
        <v>2645.41817257</v>
      </c>
    </row>
    <row r="184" spans="1:35" ht="15.75" x14ac:dyDescent="0.25">
      <c r="A184" s="13">
        <v>42917</v>
      </c>
      <c r="B184" s="10">
        <v>47653.633097530008</v>
      </c>
      <c r="C184" s="10">
        <v>3050.9703842100007</v>
      </c>
      <c r="D184" s="10">
        <v>45221.075375760003</v>
      </c>
      <c r="E184" s="10">
        <v>20348.907145140001</v>
      </c>
      <c r="F184" s="10">
        <v>164.36417281999999</v>
      </c>
      <c r="G184" s="10">
        <v>15161.004318660001</v>
      </c>
      <c r="H184" s="10">
        <v>3832.9852813100006</v>
      </c>
      <c r="I184" s="10">
        <v>1801.1604997900001</v>
      </c>
      <c r="J184" s="10">
        <v>468.12061239999997</v>
      </c>
      <c r="K184" s="10">
        <v>1330</v>
      </c>
      <c r="L184" s="10">
        <v>2300</v>
      </c>
      <c r="M184" s="10">
        <v>4140.0643882900004</v>
      </c>
      <c r="N184" s="10">
        <v>1776.7968040000001</v>
      </c>
      <c r="O184" s="10">
        <v>3022.5766379800007</v>
      </c>
      <c r="P184" s="10">
        <v>299.25529928999993</v>
      </c>
      <c r="Q184" s="10">
        <v>16.828462379999998</v>
      </c>
      <c r="R184" s="10">
        <v>3326.2953220399995</v>
      </c>
      <c r="S184" s="10" t="s">
        <v>69</v>
      </c>
      <c r="T184" s="10">
        <v>884.95629852000002</v>
      </c>
      <c r="U184" s="10">
        <v>968.17875946000004</v>
      </c>
      <c r="V184" s="10">
        <v>7892.51368</v>
      </c>
      <c r="W184" s="10">
        <v>5855.5287021100012</v>
      </c>
      <c r="X184" s="10">
        <v>117.30573084999999</v>
      </c>
      <c r="Y184" s="10">
        <v>6.232E-5</v>
      </c>
      <c r="Z184" s="10">
        <v>1.1936408199999997</v>
      </c>
      <c r="AA184" s="10">
        <v>1693.1326462900001</v>
      </c>
      <c r="AB184" s="10">
        <v>55.350720550000005</v>
      </c>
      <c r="AC184" s="10">
        <v>29747.990359519987</v>
      </c>
      <c r="AD184" s="10">
        <v>44205.552923359988</v>
      </c>
      <c r="AE184" s="10">
        <v>15649.341360330001</v>
      </c>
      <c r="AF184" s="10">
        <v>8621.9591643399999</v>
      </c>
      <c r="AG184" s="10">
        <v>1734.6040305400002</v>
      </c>
      <c r="AH184" s="10">
        <v>60.91386055000001</v>
      </c>
      <c r="AI184" s="10">
        <v>1574.4052172999984</v>
      </c>
    </row>
    <row r="185" spans="1:35" ht="15.75" x14ac:dyDescent="0.25">
      <c r="A185" s="13">
        <v>42948</v>
      </c>
      <c r="B185" s="10">
        <v>43898.055791259998</v>
      </c>
      <c r="C185" s="10">
        <v>3503.2998469999998</v>
      </c>
      <c r="D185" s="10">
        <v>47871.698198190003</v>
      </c>
      <c r="E185" s="10">
        <v>23962.369815360002</v>
      </c>
      <c r="F185" s="10">
        <v>121.75064707999999</v>
      </c>
      <c r="G185" s="10">
        <v>14738.909912520001</v>
      </c>
      <c r="H185" s="10">
        <v>3906.7494000900006</v>
      </c>
      <c r="I185" s="10">
        <v>2054.6893446899999</v>
      </c>
      <c r="J185" s="10">
        <v>478.99389309000003</v>
      </c>
      <c r="K185" s="10">
        <v>1900</v>
      </c>
      <c r="L185" s="10">
        <v>2500</v>
      </c>
      <c r="M185" s="10">
        <v>4123.07652521</v>
      </c>
      <c r="N185" s="10">
        <v>1782.74133465</v>
      </c>
      <c r="O185" s="10">
        <v>2567.67820261</v>
      </c>
      <c r="P185" s="10">
        <v>318.07907886999993</v>
      </c>
      <c r="Q185" s="10">
        <v>18.98129342</v>
      </c>
      <c r="R185" s="10">
        <v>2011.3396412899999</v>
      </c>
      <c r="S185" s="10" t="s">
        <v>69</v>
      </c>
      <c r="T185" s="10">
        <v>924.60262808000004</v>
      </c>
      <c r="U185" s="10">
        <v>785.16031106999992</v>
      </c>
      <c r="V185" s="10">
        <v>6584.4367592399994</v>
      </c>
      <c r="W185" s="10">
        <v>7149.2376334300025</v>
      </c>
      <c r="X185" s="10">
        <v>140.27272704000001</v>
      </c>
      <c r="Y185" s="10">
        <v>1.1151950000000001E-2</v>
      </c>
      <c r="Z185" s="10">
        <v>0.32124957999999998</v>
      </c>
      <c r="AA185" s="10">
        <v>2040.8017917500001</v>
      </c>
      <c r="AB185" s="10">
        <v>67.350162710000006</v>
      </c>
      <c r="AC185" s="10">
        <v>22564.089533030008</v>
      </c>
      <c r="AD185" s="10">
        <v>34391.472672569995</v>
      </c>
      <c r="AE185" s="10">
        <v>11745.989140380001</v>
      </c>
      <c r="AF185" s="10">
        <v>6726.1352845600013</v>
      </c>
      <c r="AG185" s="10">
        <v>1611.9470281300003</v>
      </c>
      <c r="AH185" s="10">
        <v>61.79715860000001</v>
      </c>
      <c r="AI185" s="10">
        <v>1284.5589173900028</v>
      </c>
    </row>
    <row r="186" spans="1:35" ht="15.75" x14ac:dyDescent="0.25">
      <c r="A186" s="13">
        <v>42979</v>
      </c>
      <c r="B186" s="10">
        <v>48624.176964170008</v>
      </c>
      <c r="C186" s="10">
        <v>3226.4188947599996</v>
      </c>
      <c r="D186" s="10">
        <v>47777.915742770012</v>
      </c>
      <c r="E186" s="10">
        <v>22643.13359668</v>
      </c>
      <c r="F186" s="10">
        <v>131.45799680000002</v>
      </c>
      <c r="G186" s="10">
        <v>16331.165275020001</v>
      </c>
      <c r="H186" s="10">
        <v>3960.0359270500003</v>
      </c>
      <c r="I186" s="10">
        <v>2256.7069654500006</v>
      </c>
      <c r="J186" s="10">
        <v>491.59549244999999</v>
      </c>
      <c r="K186" s="10">
        <v>1950</v>
      </c>
      <c r="L186" s="10">
        <v>2500</v>
      </c>
      <c r="M186" s="10">
        <v>3654.2017882800001</v>
      </c>
      <c r="N186" s="10">
        <v>1791.8305117699997</v>
      </c>
      <c r="O186" s="10">
        <v>2692.60168884</v>
      </c>
      <c r="P186" s="10">
        <v>319.97959912999994</v>
      </c>
      <c r="Q186" s="10">
        <v>19.648709930000003</v>
      </c>
      <c r="R186" s="10">
        <v>2474.7762443000001</v>
      </c>
      <c r="S186" s="10" t="s">
        <v>69</v>
      </c>
      <c r="T186" s="10">
        <v>906.89720494999983</v>
      </c>
      <c r="U186" s="10">
        <v>1025.3236317600001</v>
      </c>
      <c r="V186" s="10">
        <v>4980.4384505600001</v>
      </c>
      <c r="W186" s="10">
        <v>6578.1988642199995</v>
      </c>
      <c r="X186" s="10">
        <v>133.98924237999998</v>
      </c>
      <c r="Y186" s="10">
        <v>6.232E-5</v>
      </c>
      <c r="Z186" s="10">
        <v>3.1717024699999992</v>
      </c>
      <c r="AA186" s="10">
        <v>1905.0825249700003</v>
      </c>
      <c r="AB186" s="10">
        <v>57.994915279999994</v>
      </c>
      <c r="AC186" s="10">
        <v>23003.703097860005</v>
      </c>
      <c r="AD186" s="10">
        <v>34623.361186979993</v>
      </c>
      <c r="AE186" s="10">
        <v>11503.39923236</v>
      </c>
      <c r="AF186" s="10">
        <v>6396.1834102099992</v>
      </c>
      <c r="AG186" s="10">
        <v>1900.38849452</v>
      </c>
      <c r="AH186" s="10">
        <v>60.208039099999986</v>
      </c>
      <c r="AI186" s="10">
        <v>776.53892232000101</v>
      </c>
    </row>
    <row r="187" spans="1:35" ht="15.75" x14ac:dyDescent="0.25">
      <c r="A187" s="13">
        <v>43009</v>
      </c>
      <c r="B187" s="10">
        <v>45288.25907426</v>
      </c>
      <c r="C187" s="10">
        <v>3500.2083362399999</v>
      </c>
      <c r="D187" s="10">
        <v>47277.613152420003</v>
      </c>
      <c r="E187" s="10">
        <v>24084.385033669998</v>
      </c>
      <c r="F187" s="10">
        <v>121.12711287999998</v>
      </c>
      <c r="G187" s="10">
        <v>14214.979712079999</v>
      </c>
      <c r="H187" s="10">
        <v>4122.1705251600006</v>
      </c>
      <c r="I187" s="10">
        <v>2481.074412160001</v>
      </c>
      <c r="J187" s="10">
        <v>501.43268951000005</v>
      </c>
      <c r="K187" s="10">
        <v>1900</v>
      </c>
      <c r="L187" s="10">
        <v>2500</v>
      </c>
      <c r="M187" s="10">
        <v>4221.9295602500006</v>
      </c>
      <c r="N187" s="10">
        <v>1358.85927502</v>
      </c>
      <c r="O187" s="10">
        <v>2759.43697815</v>
      </c>
      <c r="P187" s="10">
        <v>291.67688272999993</v>
      </c>
      <c r="Q187" s="10">
        <v>19.578733730000003</v>
      </c>
      <c r="R187" s="10">
        <v>2649.7868214199998</v>
      </c>
      <c r="S187" s="10" t="s">
        <v>69</v>
      </c>
      <c r="T187" s="10">
        <v>1029.5017817799999</v>
      </c>
      <c r="U187" s="10">
        <v>1078.3690281300001</v>
      </c>
      <c r="V187" s="10">
        <v>3844.0548686499997</v>
      </c>
      <c r="W187" s="10">
        <v>6867.903295789999</v>
      </c>
      <c r="X187" s="10">
        <v>137.72182611000002</v>
      </c>
      <c r="Y187" s="10">
        <v>6.232E-5</v>
      </c>
      <c r="Z187" s="10">
        <v>0.49281744000000016</v>
      </c>
      <c r="AA187" s="10">
        <v>1982.1422689700003</v>
      </c>
      <c r="AB187" s="10">
        <v>44.40111369000001</v>
      </c>
      <c r="AC187" s="10">
        <v>23735.23692449</v>
      </c>
      <c r="AD187" s="10">
        <v>35976.742582769999</v>
      </c>
      <c r="AE187" s="10">
        <v>11736.461265360003</v>
      </c>
      <c r="AF187" s="10">
        <v>6563.8557838900006</v>
      </c>
      <c r="AG187" s="10">
        <v>1633.7149350700001</v>
      </c>
      <c r="AH187" s="10">
        <v>59.885691539999996</v>
      </c>
      <c r="AI187" s="10">
        <v>-1513.3745606200014</v>
      </c>
    </row>
    <row r="188" spans="1:35" ht="15.75" x14ac:dyDescent="0.25">
      <c r="A188" s="13">
        <v>43040</v>
      </c>
      <c r="B188" s="10">
        <v>44048.526836949997</v>
      </c>
      <c r="C188" s="10">
        <v>3375.3749518700001</v>
      </c>
      <c r="D188" s="10">
        <v>51820.862205240002</v>
      </c>
      <c r="E188" s="10">
        <v>24542.874001910001</v>
      </c>
      <c r="F188" s="10">
        <v>125.39491817000001</v>
      </c>
      <c r="G188" s="10">
        <v>16210.763685710001</v>
      </c>
      <c r="H188" s="10">
        <v>3920.37741353</v>
      </c>
      <c r="I188" s="10">
        <v>2232.0161023799997</v>
      </c>
      <c r="J188" s="10">
        <v>516.91154870000003</v>
      </c>
      <c r="K188" s="10">
        <v>2090</v>
      </c>
      <c r="L188" s="10">
        <v>3500</v>
      </c>
      <c r="M188" s="10">
        <v>3824.4675550299999</v>
      </c>
      <c r="N188" s="10">
        <v>1376.7027348299998</v>
      </c>
      <c r="O188" s="10">
        <v>2755.5552562800003</v>
      </c>
      <c r="P188" s="10">
        <v>314.48095019999994</v>
      </c>
      <c r="Q188" s="10">
        <v>17.248835460000006</v>
      </c>
      <c r="R188" s="10">
        <v>920.12770639000007</v>
      </c>
      <c r="S188" s="10" t="s">
        <v>69</v>
      </c>
      <c r="T188" s="10">
        <v>1075.5835954700001</v>
      </c>
      <c r="U188" s="10">
        <v>1194.7204380999999</v>
      </c>
      <c r="V188" s="10">
        <v>4478.9442963399997</v>
      </c>
      <c r="W188" s="10">
        <v>6708.3514408199999</v>
      </c>
      <c r="X188" s="10">
        <v>136.25237921999999</v>
      </c>
      <c r="Y188" s="10">
        <v>1.8295E-4</v>
      </c>
      <c r="Z188" s="10">
        <v>0.19907016000000002</v>
      </c>
      <c r="AA188" s="10">
        <v>2010.8091514099999</v>
      </c>
      <c r="AB188" s="10">
        <v>75.4764093</v>
      </c>
      <c r="AC188" s="10">
        <v>24595.858140390003</v>
      </c>
      <c r="AD188" s="10">
        <v>36652.409122370009</v>
      </c>
      <c r="AE188" s="10">
        <v>12089.584519900003</v>
      </c>
      <c r="AF188" s="10">
        <v>6644.2596370400006</v>
      </c>
      <c r="AG188" s="10">
        <v>1754.8825385000002</v>
      </c>
      <c r="AH188" s="10">
        <v>61.525323579999991</v>
      </c>
      <c r="AI188" s="10">
        <v>-291.44860370000163</v>
      </c>
    </row>
    <row r="189" spans="1:35" ht="15.75" x14ac:dyDescent="0.25">
      <c r="A189" s="13">
        <v>43070</v>
      </c>
      <c r="B189" s="10">
        <v>50098.950261230006</v>
      </c>
      <c r="C189" s="10">
        <v>2961.6855263899997</v>
      </c>
      <c r="D189" s="10">
        <v>51971.805505620003</v>
      </c>
      <c r="E189" s="10">
        <v>21966.465295649999</v>
      </c>
      <c r="F189" s="10">
        <v>93.138956649999997</v>
      </c>
      <c r="G189" s="10">
        <v>17641.560620110002</v>
      </c>
      <c r="H189" s="10">
        <v>4612.8575618400009</v>
      </c>
      <c r="I189" s="10">
        <v>1701.36353016</v>
      </c>
      <c r="J189" s="10">
        <v>557.39970507999999</v>
      </c>
      <c r="K189" s="10">
        <v>2000</v>
      </c>
      <c r="L189" s="10">
        <v>1100</v>
      </c>
      <c r="M189" s="10">
        <v>4621.6301829000004</v>
      </c>
      <c r="N189" s="10">
        <v>2684.6491200400001</v>
      </c>
      <c r="O189" s="10">
        <v>4367.4433743400004</v>
      </c>
      <c r="P189" s="10">
        <v>545.23197133000008</v>
      </c>
      <c r="Q189" s="10">
        <v>14.774222760000001</v>
      </c>
      <c r="R189" s="10">
        <v>2088.0088734399997</v>
      </c>
      <c r="S189" s="10" t="s">
        <v>69</v>
      </c>
      <c r="T189" s="10">
        <v>1074.4929210999999</v>
      </c>
      <c r="U189" s="10">
        <v>1230.0981349399999</v>
      </c>
      <c r="V189" s="10">
        <v>3716.1581921800002</v>
      </c>
      <c r="W189" s="10">
        <v>5868.9379417200007</v>
      </c>
      <c r="X189" s="10">
        <v>120.55524295999999</v>
      </c>
      <c r="Y189" s="10">
        <v>1.579005E-2</v>
      </c>
      <c r="Z189" s="10">
        <v>0.38635584000000001</v>
      </c>
      <c r="AA189" s="10">
        <v>1776.8752498699998</v>
      </c>
      <c r="AB189" s="10">
        <v>57.395312159999996</v>
      </c>
      <c r="AC189" s="10">
        <v>24523.371576049998</v>
      </c>
      <c r="AD189" s="10">
        <v>36569.481692709989</v>
      </c>
      <c r="AE189" s="10">
        <v>12100.658306649999</v>
      </c>
      <c r="AF189" s="10">
        <v>6656.63122208</v>
      </c>
      <c r="AG189" s="10">
        <v>1736.7988597800002</v>
      </c>
      <c r="AH189" s="10">
        <v>61.888813179999993</v>
      </c>
      <c r="AI189" s="10">
        <v>-713.40077179999946</v>
      </c>
    </row>
    <row r="190" spans="1:35" ht="15.75" x14ac:dyDescent="0.25">
      <c r="A190" s="13">
        <v>43101</v>
      </c>
      <c r="B190" s="10">
        <v>45057.459821840006</v>
      </c>
      <c r="C190" s="10">
        <v>3865.1060292100001</v>
      </c>
      <c r="D190" s="10">
        <v>60537.775697210003</v>
      </c>
      <c r="E190" s="10">
        <v>26184.55028458</v>
      </c>
      <c r="F190" s="10">
        <v>92.304300609999999</v>
      </c>
      <c r="G190" s="10">
        <v>16155.65465902</v>
      </c>
      <c r="H190" s="10">
        <v>4379.8986040900008</v>
      </c>
      <c r="I190" s="10">
        <v>2171.83982569</v>
      </c>
      <c r="J190" s="10">
        <v>556.20331191000002</v>
      </c>
      <c r="K190" s="10">
        <v>1750</v>
      </c>
      <c r="L190" s="10">
        <v>2000</v>
      </c>
      <c r="M190" s="10">
        <v>3502.7315903399999</v>
      </c>
      <c r="N190" s="10">
        <v>734.88317773000006</v>
      </c>
      <c r="O190" s="10">
        <v>1461.2424514099998</v>
      </c>
      <c r="P190" s="10">
        <v>160.76528125999999</v>
      </c>
      <c r="Q190" s="10">
        <v>98.22970325</v>
      </c>
      <c r="R190" s="10">
        <v>610.55947990000004</v>
      </c>
      <c r="S190" s="10" t="s">
        <v>69</v>
      </c>
      <c r="T190" s="10">
        <v>1303.8488495900001</v>
      </c>
      <c r="U190" s="10">
        <v>1162.31496455</v>
      </c>
      <c r="V190" s="10">
        <v>3644.6037530399999</v>
      </c>
      <c r="W190" s="10">
        <v>8056.7785806999973</v>
      </c>
      <c r="X190" s="10">
        <v>154.86983789000001</v>
      </c>
      <c r="Y190" s="10">
        <v>6.232E-5</v>
      </c>
      <c r="Z190" s="10">
        <v>0.26553055000000003</v>
      </c>
      <c r="AA190" s="10">
        <v>2078.9061062300002</v>
      </c>
      <c r="AB190" s="10">
        <v>56.847988019999995</v>
      </c>
      <c r="AC190" s="10">
        <v>34238.885053760008</v>
      </c>
      <c r="AD190" s="10">
        <v>50057.939884940002</v>
      </c>
      <c r="AE190" s="10">
        <v>18022.328567960001</v>
      </c>
      <c r="AF190" s="10">
        <v>9502.7251055700017</v>
      </c>
      <c r="AG190" s="10">
        <v>2065.5588048499999</v>
      </c>
      <c r="AH190" s="10">
        <v>60.976335429999999</v>
      </c>
      <c r="AI190" s="10">
        <v>967.27385797000352</v>
      </c>
    </row>
    <row r="191" spans="1:35" ht="15.75" x14ac:dyDescent="0.25">
      <c r="A191" s="13">
        <v>43132</v>
      </c>
      <c r="B191" s="10">
        <v>42109.199376930002</v>
      </c>
      <c r="C191" s="10">
        <v>3309.8059197500002</v>
      </c>
      <c r="D191" s="10">
        <v>57017.871942630001</v>
      </c>
      <c r="E191" s="10">
        <v>22187.343566290001</v>
      </c>
      <c r="F191" s="10">
        <v>109.61649143</v>
      </c>
      <c r="G191" s="10">
        <v>16856.068326460001</v>
      </c>
      <c r="H191" s="10">
        <v>4435.9782232000007</v>
      </c>
      <c r="I191" s="10">
        <v>1829.2155057399998</v>
      </c>
      <c r="J191" s="10">
        <v>561.57010441</v>
      </c>
      <c r="K191" s="10">
        <v>1500</v>
      </c>
      <c r="L191" s="10">
        <v>1500</v>
      </c>
      <c r="M191" s="10">
        <v>3845.3277149</v>
      </c>
      <c r="N191" s="10">
        <v>1409.9816780599999</v>
      </c>
      <c r="O191" s="10">
        <v>2323.9189624800006</v>
      </c>
      <c r="P191" s="10">
        <v>354.71388173999998</v>
      </c>
      <c r="Q191" s="10">
        <v>255.91822718000006</v>
      </c>
      <c r="R191" s="10">
        <v>663.59424561000003</v>
      </c>
      <c r="S191" s="10" t="s">
        <v>69</v>
      </c>
      <c r="T191" s="10">
        <v>1197.48966922</v>
      </c>
      <c r="U191" s="10">
        <v>1008.32483071</v>
      </c>
      <c r="V191" s="10">
        <v>5623.2055043999999</v>
      </c>
      <c r="W191" s="10">
        <v>6297.4813683000002</v>
      </c>
      <c r="X191" s="10">
        <v>126.10240952999999</v>
      </c>
      <c r="Y191" s="10">
        <v>6.232E-5</v>
      </c>
      <c r="Z191" s="10">
        <v>0.90853680000000003</v>
      </c>
      <c r="AA191" s="10">
        <v>1815.6940370499997</v>
      </c>
      <c r="AB191" s="10">
        <v>71.157836339999974</v>
      </c>
      <c r="AC191" s="10">
        <v>25675.93049631</v>
      </c>
      <c r="AD191" s="10">
        <v>40212.033131439995</v>
      </c>
      <c r="AE191" s="10">
        <v>13264.230935280002</v>
      </c>
      <c r="AF191" s="10">
        <v>6822.2131824800017</v>
      </c>
      <c r="AG191" s="10">
        <v>1885.6732166099998</v>
      </c>
      <c r="AH191" s="10">
        <v>59.482194319999998</v>
      </c>
      <c r="AI191" s="10">
        <v>1404.9455684800023</v>
      </c>
    </row>
    <row r="192" spans="1:35" ht="15.75" x14ac:dyDescent="0.25">
      <c r="A192" s="13">
        <v>43160</v>
      </c>
      <c r="B192" s="10">
        <v>45027.513786350006</v>
      </c>
      <c r="C192" s="10">
        <v>3529.8769100300001</v>
      </c>
      <c r="D192" s="10">
        <v>57569.498707120001</v>
      </c>
      <c r="E192" s="10">
        <v>24595.482301180004</v>
      </c>
      <c r="F192" s="10">
        <v>105.79016946</v>
      </c>
      <c r="G192" s="10">
        <v>16549.98066252</v>
      </c>
      <c r="H192" s="10">
        <v>3890.1495191500007</v>
      </c>
      <c r="I192" s="10">
        <v>1905.6792484699997</v>
      </c>
      <c r="J192" s="10">
        <v>467.46598190999998</v>
      </c>
      <c r="K192" s="10">
        <v>2200</v>
      </c>
      <c r="L192" s="10">
        <v>1500</v>
      </c>
      <c r="M192" s="10">
        <v>3909.6351716400004</v>
      </c>
      <c r="N192" s="10">
        <v>1477.0021268</v>
      </c>
      <c r="O192" s="10">
        <v>9.4765925500000012</v>
      </c>
      <c r="P192" s="10">
        <v>0.29553587000000003</v>
      </c>
      <c r="Q192" s="10">
        <v>390.85121948000011</v>
      </c>
      <c r="R192" s="10">
        <v>1828.6727680999998</v>
      </c>
      <c r="S192" s="10" t="s">
        <v>69</v>
      </c>
      <c r="T192" s="10">
        <v>1285.7160493700001</v>
      </c>
      <c r="U192" s="10">
        <v>1179.9054012899999</v>
      </c>
      <c r="V192" s="10">
        <v>3063.0733595000002</v>
      </c>
      <c r="W192" s="10">
        <v>6983.4889305500001</v>
      </c>
      <c r="X192" s="10">
        <v>141.42818155000001</v>
      </c>
      <c r="Y192" s="10">
        <v>6.232E-5</v>
      </c>
      <c r="Z192" s="10">
        <v>0.69863472999999998</v>
      </c>
      <c r="AA192" s="10">
        <v>2045.0156690599997</v>
      </c>
      <c r="AB192" s="10">
        <v>70.982517239999993</v>
      </c>
      <c r="AC192" s="10">
        <v>26307.083581350002</v>
      </c>
      <c r="AD192" s="10">
        <v>40629.492739519999</v>
      </c>
      <c r="AE192" s="10">
        <v>13207.749751789996</v>
      </c>
      <c r="AF192" s="10">
        <v>7088.3946582900007</v>
      </c>
      <c r="AG192" s="10">
        <v>2166.7934366800005</v>
      </c>
      <c r="AH192" s="10">
        <v>63.405007549999993</v>
      </c>
      <c r="AI192" s="10">
        <v>-289.16397443999739</v>
      </c>
    </row>
    <row r="193" spans="1:35" ht="15.75" x14ac:dyDescent="0.25">
      <c r="A193" s="13">
        <v>43191</v>
      </c>
      <c r="B193" s="10">
        <v>37359.656107980001</v>
      </c>
      <c r="C193" s="10">
        <v>4231.6550069199993</v>
      </c>
      <c r="D193" s="10">
        <v>57740.725434270003</v>
      </c>
      <c r="E193" s="10">
        <v>26640.745078570002</v>
      </c>
      <c r="F193" s="10">
        <v>149.00406881000001</v>
      </c>
      <c r="G193" s="10">
        <v>15275.430615069999</v>
      </c>
      <c r="H193" s="10">
        <v>4374.4787697100001</v>
      </c>
      <c r="I193" s="10">
        <v>2575.75237677</v>
      </c>
      <c r="J193" s="10">
        <v>591.42340477999994</v>
      </c>
      <c r="K193" s="10">
        <v>1800</v>
      </c>
      <c r="L193" s="10">
        <v>5000</v>
      </c>
      <c r="M193" s="10">
        <v>4795.5808385200007</v>
      </c>
      <c r="N193" s="10">
        <v>3825.8617949500003</v>
      </c>
      <c r="O193" s="10">
        <v>-1.2464E-4</v>
      </c>
      <c r="P193" s="10">
        <v>-1.2464E-4</v>
      </c>
      <c r="Q193" s="10">
        <v>318.61896553999992</v>
      </c>
      <c r="R193" s="10">
        <v>550.62656391999997</v>
      </c>
      <c r="S193" s="10" t="s">
        <v>69</v>
      </c>
      <c r="T193" s="10">
        <v>1250.2341865600004</v>
      </c>
      <c r="U193" s="10">
        <v>1168.2689295999999</v>
      </c>
      <c r="V193" s="10">
        <v>8779.7223956499984</v>
      </c>
      <c r="W193" s="10">
        <v>7655.05859246</v>
      </c>
      <c r="X193" s="10">
        <v>149.92098078000001</v>
      </c>
      <c r="Y193" s="10">
        <v>6.232E-5</v>
      </c>
      <c r="Z193" s="10">
        <v>0.91001778999999994</v>
      </c>
      <c r="AA193" s="10">
        <v>2228.5042270399999</v>
      </c>
      <c r="AB193" s="10">
        <v>74.897039019999994</v>
      </c>
      <c r="AC193" s="10">
        <v>26683.485953669991</v>
      </c>
      <c r="AD193" s="10">
        <v>41470.25640802001</v>
      </c>
      <c r="AE193" s="10">
        <v>13517.257550069997</v>
      </c>
      <c r="AF193" s="10">
        <v>7051.28882789</v>
      </c>
      <c r="AG193" s="10">
        <v>2191.9312937</v>
      </c>
      <c r="AH193" s="10">
        <v>75.471675879999978</v>
      </c>
      <c r="AI193" s="10">
        <v>-2634.4233101100031</v>
      </c>
    </row>
    <row r="194" spans="1:35" ht="15.75" x14ac:dyDescent="0.25">
      <c r="A194" s="13">
        <v>43221</v>
      </c>
      <c r="B194" s="10">
        <v>71742.637797179996</v>
      </c>
      <c r="C194" s="10">
        <v>4676.1090486599996</v>
      </c>
      <c r="D194" s="10">
        <v>57784.506606089999</v>
      </c>
      <c r="E194" s="10">
        <v>30889.732290740001</v>
      </c>
      <c r="F194" s="10">
        <v>141.47956889</v>
      </c>
      <c r="G194" s="10">
        <v>19066.148147920001</v>
      </c>
      <c r="H194" s="10">
        <v>3970.1716769500008</v>
      </c>
      <c r="I194" s="10">
        <v>2476.33083399</v>
      </c>
      <c r="J194" s="10">
        <v>491.18583152000008</v>
      </c>
      <c r="K194" s="10">
        <v>1350</v>
      </c>
      <c r="L194" s="10">
        <v>1700</v>
      </c>
      <c r="M194" s="10">
        <v>6783.35411097</v>
      </c>
      <c r="N194" s="10">
        <v>4421.1437092799997</v>
      </c>
      <c r="O194" s="10">
        <v>-1.2464E-4</v>
      </c>
      <c r="P194" s="10">
        <v>-2.408E-4</v>
      </c>
      <c r="Q194" s="10">
        <v>354.06723706000002</v>
      </c>
      <c r="R194" s="10">
        <v>602.93739856999991</v>
      </c>
      <c r="S194" s="10" t="s">
        <v>69</v>
      </c>
      <c r="T194" s="10">
        <v>1253.7214259699999</v>
      </c>
      <c r="U194" s="10">
        <v>1322.41632903</v>
      </c>
      <c r="V194" s="10">
        <v>10841.87422127</v>
      </c>
      <c r="W194" s="10">
        <v>8575.8994622200025</v>
      </c>
      <c r="X194" s="10">
        <v>174.36192202999993</v>
      </c>
      <c r="Y194" s="10">
        <v>6.232E-5</v>
      </c>
      <c r="Z194" s="10">
        <v>0.2427657</v>
      </c>
      <c r="AA194" s="10">
        <v>2501.6912261800003</v>
      </c>
      <c r="AB194" s="10">
        <v>96.53134851999998</v>
      </c>
      <c r="AC194" s="10">
        <v>27532.722394949997</v>
      </c>
      <c r="AD194" s="10">
        <v>40822.914320139986</v>
      </c>
      <c r="AE194" s="10">
        <v>13747.686197159999</v>
      </c>
      <c r="AF194" s="10">
        <v>7255.865437800001</v>
      </c>
      <c r="AG194" s="10">
        <v>2288.4048764599993</v>
      </c>
      <c r="AH194" s="10">
        <v>78.143848439999999</v>
      </c>
      <c r="AI194" s="10">
        <v>4371.8945597300008</v>
      </c>
    </row>
    <row r="195" spans="1:35" ht="15.75" x14ac:dyDescent="0.25">
      <c r="A195" s="13">
        <v>43252</v>
      </c>
      <c r="B195" s="10">
        <v>86227.87119048</v>
      </c>
      <c r="C195" s="10">
        <v>4122.51879732</v>
      </c>
      <c r="D195" s="10">
        <v>63409.226087379997</v>
      </c>
      <c r="E195" s="10">
        <v>29718.254555039999</v>
      </c>
      <c r="F195" s="10">
        <v>702.13797710000017</v>
      </c>
      <c r="G195" s="10">
        <v>20176.360990190002</v>
      </c>
      <c r="H195" s="10">
        <v>3972.9313921900002</v>
      </c>
      <c r="I195" s="10">
        <v>1708.8075195199999</v>
      </c>
      <c r="J195" s="10">
        <v>545.09962469000004</v>
      </c>
      <c r="K195" s="10">
        <v>1000</v>
      </c>
      <c r="L195" s="10">
        <v>2550</v>
      </c>
      <c r="M195" s="10">
        <v>5741.5244113400004</v>
      </c>
      <c r="N195" s="10">
        <v>3500.8967485399999</v>
      </c>
      <c r="O195" s="10">
        <v>-1.2464E-4</v>
      </c>
      <c r="P195" s="10">
        <v>-1.2464E-4</v>
      </c>
      <c r="Q195" s="10">
        <v>371.06574431000001</v>
      </c>
      <c r="R195" s="10">
        <v>3574.7371392699997</v>
      </c>
      <c r="S195" s="10" t="s">
        <v>69</v>
      </c>
      <c r="T195" s="10">
        <v>1287.3655261699998</v>
      </c>
      <c r="U195" s="10">
        <v>1375.8158582099998</v>
      </c>
      <c r="V195" s="10">
        <v>10727.933071990001</v>
      </c>
      <c r="W195" s="10">
        <v>8243.1168970900017</v>
      </c>
      <c r="X195" s="10">
        <v>168.45887682999998</v>
      </c>
      <c r="Y195" s="10">
        <v>7.1229000000000008E-4</v>
      </c>
      <c r="Z195" s="10">
        <v>0.24892455999999999</v>
      </c>
      <c r="AA195" s="10">
        <v>2260.9346999099998</v>
      </c>
      <c r="AB195" s="10">
        <v>71.081696980000004</v>
      </c>
      <c r="AC195" s="10">
        <v>28391.536222860002</v>
      </c>
      <c r="AD195" s="10">
        <v>41500.723753019993</v>
      </c>
      <c r="AE195" s="10">
        <v>13486.152834990002</v>
      </c>
      <c r="AF195" s="10">
        <v>7036.2839393699987</v>
      </c>
      <c r="AG195" s="10">
        <v>2244.3612455099997</v>
      </c>
      <c r="AH195" s="10">
        <v>72.008391099999997</v>
      </c>
      <c r="AI195" s="10">
        <v>-12858.404384859999</v>
      </c>
    </row>
    <row r="196" spans="1:35" ht="15.75" x14ac:dyDescent="0.25">
      <c r="A196" s="13">
        <v>43282</v>
      </c>
      <c r="B196" s="10">
        <v>55072.845927099996</v>
      </c>
      <c r="C196" s="10">
        <v>4630.4792963700002</v>
      </c>
      <c r="D196" s="10">
        <v>60083.195914430005</v>
      </c>
      <c r="E196" s="10">
        <v>34220.880580800003</v>
      </c>
      <c r="F196" s="10">
        <v>112.38816575999999</v>
      </c>
      <c r="G196" s="10">
        <v>18738.903276550001</v>
      </c>
      <c r="H196" s="10">
        <v>4060.3888258400002</v>
      </c>
      <c r="I196" s="10">
        <v>1649.3986393299997</v>
      </c>
      <c r="J196" s="10">
        <v>552.69302096000001</v>
      </c>
      <c r="K196" s="10">
        <v>2850</v>
      </c>
      <c r="L196" s="10">
        <v>3900</v>
      </c>
      <c r="M196" s="10">
        <v>6440.38468603</v>
      </c>
      <c r="N196" s="10">
        <v>3852.5754373</v>
      </c>
      <c r="O196" s="10">
        <v>-1.4077999999999999E-4</v>
      </c>
      <c r="P196" s="10">
        <v>-1.2464E-4</v>
      </c>
      <c r="Q196" s="10">
        <v>448.75735501999992</v>
      </c>
      <c r="R196" s="10">
        <v>1215.6898666299999</v>
      </c>
      <c r="S196" s="10" t="s">
        <v>69</v>
      </c>
      <c r="T196" s="10">
        <v>1365.9999645600005</v>
      </c>
      <c r="U196" s="10">
        <v>1265.1898454899999</v>
      </c>
      <c r="V196" s="10">
        <v>7354.8292787199998</v>
      </c>
      <c r="W196" s="10">
        <v>9766.9090255799983</v>
      </c>
      <c r="X196" s="10">
        <v>199.28664983999997</v>
      </c>
      <c r="Y196" s="10">
        <v>6.4469999999999998E-5</v>
      </c>
      <c r="Z196" s="10">
        <v>0.17759320000000003</v>
      </c>
      <c r="AA196" s="10">
        <v>2628.1553203799995</v>
      </c>
      <c r="AB196" s="10">
        <v>63.246007410000004</v>
      </c>
      <c r="AC196" s="10">
        <v>36199.162434460006</v>
      </c>
      <c r="AD196" s="10">
        <v>52958.062459950001</v>
      </c>
      <c r="AE196" s="10">
        <v>19669.842557080003</v>
      </c>
      <c r="AF196" s="10">
        <v>9739.9475331800004</v>
      </c>
      <c r="AG196" s="10">
        <v>2305.0944659199995</v>
      </c>
      <c r="AH196" s="10">
        <v>75.76887653</v>
      </c>
      <c r="AI196" s="10">
        <v>659.32291598000347</v>
      </c>
    </row>
    <row r="197" spans="1:35" ht="15.75" x14ac:dyDescent="0.25">
      <c r="A197" s="13">
        <v>43313</v>
      </c>
      <c r="B197" s="10">
        <v>63775.474707820002</v>
      </c>
      <c r="C197" s="10">
        <v>4925.4002442000001</v>
      </c>
      <c r="D197" s="10">
        <v>63155.142508030003</v>
      </c>
      <c r="E197" s="10">
        <v>36910.958388840001</v>
      </c>
      <c r="F197" s="10">
        <v>160.15908344999997</v>
      </c>
      <c r="G197" s="10">
        <v>20745.336284010002</v>
      </c>
      <c r="H197" s="10">
        <v>3575.1343265399996</v>
      </c>
      <c r="I197" s="10">
        <v>1854.2629238100005</v>
      </c>
      <c r="J197" s="10">
        <v>496.12516969000001</v>
      </c>
      <c r="K197" s="10">
        <v>1950</v>
      </c>
      <c r="L197" s="10">
        <v>3750</v>
      </c>
      <c r="M197" s="10">
        <v>6670.0451796199995</v>
      </c>
      <c r="N197" s="10">
        <v>4356.8566734100004</v>
      </c>
      <c r="O197" s="10">
        <v>-1.8577000000000001E-4</v>
      </c>
      <c r="P197" s="10">
        <v>-1.2464E-4</v>
      </c>
      <c r="Q197" s="10">
        <v>522.98574230999998</v>
      </c>
      <c r="R197" s="10">
        <v>1771.5565717099998</v>
      </c>
      <c r="S197" s="10" t="s">
        <v>69</v>
      </c>
      <c r="T197" s="10">
        <v>1442.3270376099999</v>
      </c>
      <c r="U197" s="10">
        <v>1302.06547024</v>
      </c>
      <c r="V197" s="10">
        <v>6358.5721665500005</v>
      </c>
      <c r="W197" s="10">
        <v>10786.721084389999</v>
      </c>
      <c r="X197" s="10">
        <v>219.72542951</v>
      </c>
      <c r="Y197" s="10">
        <v>7.5829999999999997E-5</v>
      </c>
      <c r="Z197" s="10">
        <v>0.18486156999999998</v>
      </c>
      <c r="AA197" s="10">
        <v>2897.5128239299997</v>
      </c>
      <c r="AB197" s="10">
        <v>110.80613897000003</v>
      </c>
      <c r="AC197" s="10">
        <v>28173.583193559996</v>
      </c>
      <c r="AD197" s="10">
        <v>41991.614604430004</v>
      </c>
      <c r="AE197" s="10">
        <v>14545.838109799999</v>
      </c>
      <c r="AF197" s="10">
        <v>7682.3439763099996</v>
      </c>
      <c r="AG197" s="10">
        <v>2134.6687341500001</v>
      </c>
      <c r="AH197" s="10">
        <v>76.157559179999993</v>
      </c>
      <c r="AI197" s="10">
        <v>286.4709249899974</v>
      </c>
    </row>
    <row r="198" spans="1:35" ht="15.75" x14ac:dyDescent="0.25">
      <c r="A198" s="13">
        <v>43344</v>
      </c>
      <c r="B198" s="10">
        <v>54260.667351030002</v>
      </c>
      <c r="C198" s="10">
        <v>5137.1150645900007</v>
      </c>
      <c r="D198" s="10">
        <v>65674.612885779992</v>
      </c>
      <c r="E198" s="10">
        <v>39395.395464889996</v>
      </c>
      <c r="F198" s="10">
        <v>151.91307552999999</v>
      </c>
      <c r="G198" s="10">
        <v>22268.176493160005</v>
      </c>
      <c r="H198" s="10">
        <v>4354.2655111699987</v>
      </c>
      <c r="I198" s="10">
        <v>1720.87208405</v>
      </c>
      <c r="J198" s="10">
        <v>621.31088063000016</v>
      </c>
      <c r="K198" s="10">
        <v>1500</v>
      </c>
      <c r="L198" s="10">
        <v>3500</v>
      </c>
      <c r="M198" s="10">
        <v>5996.5816069499997</v>
      </c>
      <c r="N198" s="10">
        <v>3607.8722575500001</v>
      </c>
      <c r="O198" s="10">
        <v>-1.2464E-4</v>
      </c>
      <c r="P198" s="10">
        <v>-1.2464E-4</v>
      </c>
      <c r="Q198" s="10">
        <v>633.20606992</v>
      </c>
      <c r="R198" s="10">
        <v>765.61698730000012</v>
      </c>
      <c r="S198" s="10" t="s">
        <v>69</v>
      </c>
      <c r="T198" s="10">
        <v>1413.3979498900001</v>
      </c>
      <c r="U198" s="10">
        <v>1302.0065299199998</v>
      </c>
      <c r="V198" s="10">
        <v>13206.703663730001</v>
      </c>
      <c r="W198" s="10">
        <v>10248.635646780001</v>
      </c>
      <c r="X198" s="10">
        <v>220.24743212999996</v>
      </c>
      <c r="Y198" s="10">
        <v>6.2689999999999998E-5</v>
      </c>
      <c r="Z198" s="10">
        <v>0.60400494999999998</v>
      </c>
      <c r="AA198" s="10">
        <v>2781.72730017</v>
      </c>
      <c r="AB198" s="10">
        <v>113.46627879999998</v>
      </c>
      <c r="AC198" s="10">
        <v>28658.517344290005</v>
      </c>
      <c r="AD198" s="10">
        <v>42120.716462949997</v>
      </c>
      <c r="AE198" s="10">
        <v>14252.483389170002</v>
      </c>
      <c r="AF198" s="10">
        <v>7351.1479646899998</v>
      </c>
      <c r="AG198" s="10">
        <v>2361.335141309999</v>
      </c>
      <c r="AH198" s="10">
        <v>74.103358319999998</v>
      </c>
      <c r="AI198" s="10">
        <v>-722.23636316999841</v>
      </c>
    </row>
    <row r="199" spans="1:35" ht="15.75" x14ac:dyDescent="0.25">
      <c r="A199" s="13">
        <v>43374</v>
      </c>
      <c r="B199" s="10">
        <v>58199.779024189993</v>
      </c>
      <c r="C199" s="10">
        <v>5543.0717179299991</v>
      </c>
      <c r="D199" s="10">
        <v>73902.434644039997</v>
      </c>
      <c r="E199" s="10">
        <v>39359.977622070001</v>
      </c>
      <c r="F199" s="10">
        <v>120.61505357</v>
      </c>
      <c r="G199" s="10">
        <v>21510.462626820001</v>
      </c>
      <c r="H199" s="10">
        <v>4427.1407970500004</v>
      </c>
      <c r="I199" s="10">
        <v>2145.6980645799999</v>
      </c>
      <c r="J199" s="10">
        <v>568.91690041999993</v>
      </c>
      <c r="K199" s="10">
        <v>2500</v>
      </c>
      <c r="L199" s="10">
        <v>3700</v>
      </c>
      <c r="M199" s="10">
        <v>5061.59870787</v>
      </c>
      <c r="N199" s="10">
        <v>3057.1136818700002</v>
      </c>
      <c r="O199" s="10">
        <v>-1.2464E-4</v>
      </c>
      <c r="P199" s="10">
        <v>-1.2464E-4</v>
      </c>
      <c r="Q199" s="10">
        <v>667.85852821999981</v>
      </c>
      <c r="R199" s="10">
        <v>1290.05802277</v>
      </c>
      <c r="S199" s="10" t="s">
        <v>69</v>
      </c>
      <c r="T199" s="10">
        <v>1441.7316990300003</v>
      </c>
      <c r="U199" s="10">
        <v>1235.64677183</v>
      </c>
      <c r="V199" s="10">
        <v>14051.083478050001</v>
      </c>
      <c r="W199" s="10">
        <v>11326.213842780002</v>
      </c>
      <c r="X199" s="10">
        <v>251.32478678000001</v>
      </c>
      <c r="Y199" s="10">
        <v>6.232E-5</v>
      </c>
      <c r="Z199" s="10">
        <v>1.4666835299999998</v>
      </c>
      <c r="AA199" s="10">
        <v>3014.0101279999999</v>
      </c>
      <c r="AB199" s="10">
        <v>114.2974632</v>
      </c>
      <c r="AC199" s="10">
        <v>29955.784742569998</v>
      </c>
      <c r="AD199" s="10">
        <v>44623.133977759993</v>
      </c>
      <c r="AE199" s="10">
        <v>14927.611286720005</v>
      </c>
      <c r="AF199" s="10">
        <v>7763.3092417899998</v>
      </c>
      <c r="AG199" s="10">
        <v>2287.5781889499995</v>
      </c>
      <c r="AH199" s="10">
        <v>77.015727029999994</v>
      </c>
      <c r="AI199" s="10">
        <v>7.1254852900005936</v>
      </c>
    </row>
    <row r="200" spans="1:35" ht="15.75" x14ac:dyDescent="0.25">
      <c r="A200" s="13">
        <v>43405</v>
      </c>
      <c r="B200" s="10">
        <v>60921.821261619996</v>
      </c>
      <c r="C200" s="10">
        <v>4493.33637619</v>
      </c>
      <c r="D200" s="10">
        <v>73188.359659239999</v>
      </c>
      <c r="E200" s="10">
        <v>26103.680305860002</v>
      </c>
      <c r="F200" s="10">
        <v>127.67605645999998</v>
      </c>
      <c r="G200" s="10">
        <v>23562.22530563</v>
      </c>
      <c r="H200" s="10">
        <v>4434.500901559999</v>
      </c>
      <c r="I200" s="10">
        <v>1801.0596071199998</v>
      </c>
      <c r="J200" s="10">
        <v>600.15386201000001</v>
      </c>
      <c r="K200" s="10">
        <v>2500</v>
      </c>
      <c r="L200" s="10">
        <v>3350</v>
      </c>
      <c r="M200" s="10">
        <v>5081.54796885</v>
      </c>
      <c r="N200" s="10">
        <v>3592.2241389599999</v>
      </c>
      <c r="O200" s="10">
        <v>-1.2464E-4</v>
      </c>
      <c r="P200" s="10">
        <v>-1.2464E-4</v>
      </c>
      <c r="Q200" s="10">
        <v>684.70273844999997</v>
      </c>
      <c r="R200" s="10">
        <v>430.11890641000002</v>
      </c>
      <c r="S200" s="10" t="s">
        <v>69</v>
      </c>
      <c r="T200" s="10">
        <v>1359.25377723</v>
      </c>
      <c r="U200" s="10">
        <v>1419.0893233300001</v>
      </c>
      <c r="V200" s="10">
        <v>14714.57216924</v>
      </c>
      <c r="W200" s="10">
        <v>8818.315473409999</v>
      </c>
      <c r="X200" s="10">
        <v>201.20888919999999</v>
      </c>
      <c r="Y200" s="10">
        <v>6.232E-5</v>
      </c>
      <c r="Z200" s="10">
        <v>0.88198613999999986</v>
      </c>
      <c r="AA200" s="10">
        <v>2365.8903598999996</v>
      </c>
      <c r="AB200" s="10">
        <v>107.42403546</v>
      </c>
      <c r="AC200" s="10">
        <v>30230.945946469994</v>
      </c>
      <c r="AD200" s="10">
        <v>45005.499551689994</v>
      </c>
      <c r="AE200" s="10">
        <v>15182.633796050004</v>
      </c>
      <c r="AF200" s="10">
        <v>7763.8445614199991</v>
      </c>
      <c r="AG200" s="10">
        <v>2423.8026447699999</v>
      </c>
      <c r="AH200" s="10">
        <v>74.653830049999982</v>
      </c>
      <c r="AI200" s="10">
        <v>-90.655202669999099</v>
      </c>
    </row>
    <row r="201" spans="1:35" ht="15.75" x14ac:dyDescent="0.25">
      <c r="A201" s="13">
        <v>43435</v>
      </c>
      <c r="B201" s="10">
        <v>69745.413873329991</v>
      </c>
      <c r="C201" s="10">
        <v>4087.57110478</v>
      </c>
      <c r="D201" s="10">
        <v>77655.924758790003</v>
      </c>
      <c r="E201" s="10">
        <v>24054.014490230002</v>
      </c>
      <c r="F201" s="10">
        <v>81.684533869999996</v>
      </c>
      <c r="G201" s="10">
        <v>23395.187587430002</v>
      </c>
      <c r="H201" s="10">
        <v>5472.1421474400004</v>
      </c>
      <c r="I201" s="10">
        <v>2137.7277037999997</v>
      </c>
      <c r="J201" s="10">
        <v>761.43342103000009</v>
      </c>
      <c r="K201" s="10">
        <v>2500</v>
      </c>
      <c r="L201" s="10">
        <v>2150</v>
      </c>
      <c r="M201" s="10">
        <v>6513.6438090000001</v>
      </c>
      <c r="N201" s="10">
        <v>6765.3040917399994</v>
      </c>
      <c r="O201" s="10">
        <v>-1.2464E-4</v>
      </c>
      <c r="P201" s="10">
        <v>-1.2464E-4</v>
      </c>
      <c r="Q201" s="10">
        <v>675.13872494999998</v>
      </c>
      <c r="R201" s="10">
        <v>1212.9858614699999</v>
      </c>
      <c r="S201" s="10" t="s">
        <v>69</v>
      </c>
      <c r="T201" s="10">
        <v>1451.2216538199998</v>
      </c>
      <c r="U201" s="10">
        <v>1274.40559207</v>
      </c>
      <c r="V201" s="10">
        <v>15794.18383039</v>
      </c>
      <c r="W201" s="10">
        <v>8232.131562999999</v>
      </c>
      <c r="X201" s="10">
        <v>180.37649439999998</v>
      </c>
      <c r="Y201" s="10">
        <v>1.4859000000000001E-4</v>
      </c>
      <c r="Z201" s="10">
        <v>-0.97830892000000036</v>
      </c>
      <c r="AA201" s="10">
        <v>2117.0252062700006</v>
      </c>
      <c r="AB201" s="10">
        <v>74.638216800000009</v>
      </c>
      <c r="AC201" s="10">
        <v>30302.590614789999</v>
      </c>
      <c r="AD201" s="10">
        <v>45312.452781940003</v>
      </c>
      <c r="AE201" s="10">
        <v>15460.246477109999</v>
      </c>
      <c r="AF201" s="10">
        <v>7800.0314178500003</v>
      </c>
      <c r="AG201" s="10">
        <v>2033.2395184</v>
      </c>
      <c r="AH201" s="10">
        <v>74.419723529999999</v>
      </c>
      <c r="AI201" s="10">
        <v>237.50602420999994</v>
      </c>
    </row>
    <row r="202" spans="1:35" ht="15.75" x14ac:dyDescent="0.25">
      <c r="A202" s="13">
        <v>43466</v>
      </c>
      <c r="B202" s="10">
        <v>66534.422438189999</v>
      </c>
      <c r="C202" s="10">
        <v>4765.4802334599999</v>
      </c>
      <c r="D202" s="10">
        <v>90413.178875530008</v>
      </c>
      <c r="E202" s="10">
        <v>26829.254575630002</v>
      </c>
      <c r="F202" s="10">
        <v>32.613415979999999</v>
      </c>
      <c r="G202" s="10">
        <v>24345.147495159999</v>
      </c>
      <c r="H202" s="10">
        <v>5471.4668270800003</v>
      </c>
      <c r="I202" s="10">
        <v>1978.7879959999996</v>
      </c>
      <c r="J202" s="10">
        <v>682.82694290999996</v>
      </c>
      <c r="K202" s="10">
        <v>2500</v>
      </c>
      <c r="L202" s="10">
        <v>2520</v>
      </c>
      <c r="M202" s="10">
        <v>6794.0468056999998</v>
      </c>
      <c r="N202" s="10">
        <v>2514.1733156099999</v>
      </c>
      <c r="O202" s="10">
        <v>-1.2464E-4</v>
      </c>
      <c r="P202" s="10">
        <v>-1.2464E-4</v>
      </c>
      <c r="Q202" s="10">
        <v>554.60030224000013</v>
      </c>
      <c r="R202" s="10">
        <v>400.30059750999999</v>
      </c>
      <c r="S202" s="10" t="s">
        <v>69</v>
      </c>
      <c r="T202" s="10">
        <v>1723.7707767400002</v>
      </c>
      <c r="U202" s="10">
        <v>1351.4366145299998</v>
      </c>
      <c r="V202" s="10">
        <v>15572.576543390001</v>
      </c>
      <c r="W202" s="10">
        <v>9465.3248420100008</v>
      </c>
      <c r="X202" s="10">
        <v>208.43927499</v>
      </c>
      <c r="Y202" s="10">
        <v>6.232E-5</v>
      </c>
      <c r="Z202" s="10">
        <v>0.92239389000000016</v>
      </c>
      <c r="AA202" s="10">
        <v>2351.8146676899996</v>
      </c>
      <c r="AB202" s="10">
        <v>66.462061869999985</v>
      </c>
      <c r="AC202" s="10">
        <v>43595.754700739992</v>
      </c>
      <c r="AD202" s="10">
        <v>65313.137067819982</v>
      </c>
      <c r="AE202" s="10">
        <v>23168.398674039996</v>
      </c>
      <c r="AF202" s="10">
        <v>11559.60350978</v>
      </c>
      <c r="AG202" s="10">
        <v>2693.46097994</v>
      </c>
      <c r="AH202" s="10">
        <v>82.520453840000002</v>
      </c>
      <c r="AI202" s="10">
        <v>274.5778857599999</v>
      </c>
    </row>
    <row r="203" spans="1:35" ht="15.75" x14ac:dyDescent="0.25">
      <c r="A203" s="13">
        <v>43497</v>
      </c>
      <c r="B203" s="10">
        <v>65479.897923519995</v>
      </c>
      <c r="C203" s="10">
        <v>3961.28901339</v>
      </c>
      <c r="D203" s="10">
        <v>81666.951129960013</v>
      </c>
      <c r="E203" s="10">
        <v>24164.827468539996</v>
      </c>
      <c r="F203" s="10">
        <v>94.742305200000018</v>
      </c>
      <c r="G203" s="10">
        <v>24835.01850867</v>
      </c>
      <c r="H203" s="10">
        <v>5377.7755496199998</v>
      </c>
      <c r="I203" s="10">
        <v>1495.1674935799999</v>
      </c>
      <c r="J203" s="10">
        <v>711.30685704999996</v>
      </c>
      <c r="K203" s="10">
        <v>2050</v>
      </c>
      <c r="L203" s="10">
        <v>1600</v>
      </c>
      <c r="M203" s="10">
        <v>6717.8497601700001</v>
      </c>
      <c r="N203" s="10">
        <v>4511.7541259700001</v>
      </c>
      <c r="O203" s="10">
        <v>-6.232E-5</v>
      </c>
      <c r="P203" s="10">
        <v>-1.2464E-4</v>
      </c>
      <c r="Q203" s="10">
        <v>489.14238450000011</v>
      </c>
      <c r="R203" s="10">
        <v>1185.5315345700001</v>
      </c>
      <c r="S203" s="10" t="s">
        <v>69</v>
      </c>
      <c r="T203" s="10">
        <v>1652.3835405800003</v>
      </c>
      <c r="U203" s="10">
        <v>1079.69400655</v>
      </c>
      <c r="V203" s="10">
        <v>17592.407765149997</v>
      </c>
      <c r="W203" s="10">
        <v>7683.3673449800017</v>
      </c>
      <c r="X203" s="10">
        <v>173.38113447999999</v>
      </c>
      <c r="Y203" s="10">
        <v>0.10543008000000001</v>
      </c>
      <c r="Z203" s="10">
        <v>0.56286544999999999</v>
      </c>
      <c r="AA203" s="10">
        <v>2130.5824365499993</v>
      </c>
      <c r="AB203" s="10">
        <v>121.22812854999999</v>
      </c>
      <c r="AC203" s="10">
        <v>34219.012272970009</v>
      </c>
      <c r="AD203" s="10">
        <v>51640.750596089994</v>
      </c>
      <c r="AE203" s="10">
        <v>17695.322428119998</v>
      </c>
      <c r="AF203" s="10">
        <v>8841.9780080600012</v>
      </c>
      <c r="AG203" s="10">
        <v>2662.8263850500002</v>
      </c>
      <c r="AH203" s="10">
        <v>74.196139970000004</v>
      </c>
      <c r="AI203" s="10">
        <v>-61.932294550001842</v>
      </c>
    </row>
    <row r="204" spans="1:35" ht="15.75" x14ac:dyDescent="0.25">
      <c r="A204" s="13">
        <v>43525</v>
      </c>
      <c r="B204" s="10">
        <v>56037.813143019994</v>
      </c>
      <c r="C204" s="10">
        <v>4652.2451566800009</v>
      </c>
      <c r="D204" s="10">
        <v>81867.938479759992</v>
      </c>
      <c r="E204" s="10">
        <v>27029.01150312</v>
      </c>
      <c r="F204" s="10">
        <v>46.504529000000012</v>
      </c>
      <c r="G204" s="10">
        <v>22336.681538420002</v>
      </c>
      <c r="H204" s="10">
        <v>5328.0143817299995</v>
      </c>
      <c r="I204" s="10">
        <v>1612.1660532599999</v>
      </c>
      <c r="J204" s="10">
        <v>657.97717193000005</v>
      </c>
      <c r="K204" s="10">
        <v>500</v>
      </c>
      <c r="L204" s="10">
        <v>1500</v>
      </c>
      <c r="M204" s="10">
        <v>6281.7349710900007</v>
      </c>
      <c r="N204" s="10">
        <v>3880.7586418199999</v>
      </c>
      <c r="O204" s="10">
        <v>-6.232E-5</v>
      </c>
      <c r="P204" s="10">
        <v>-1.2464E-4</v>
      </c>
      <c r="Q204" s="10">
        <v>485.76302561999995</v>
      </c>
      <c r="R204" s="10">
        <v>345.99806673000001</v>
      </c>
      <c r="S204" s="10" t="s">
        <v>69</v>
      </c>
      <c r="T204" s="10">
        <v>1539.6119632000004</v>
      </c>
      <c r="U204" s="10">
        <v>1162.4893563800001</v>
      </c>
      <c r="V204" s="10">
        <v>18166.377616369999</v>
      </c>
      <c r="W204" s="10">
        <v>9254.6556945500015</v>
      </c>
      <c r="X204" s="10">
        <v>206.50022718999998</v>
      </c>
      <c r="Y204" s="10">
        <v>0.38127100000000003</v>
      </c>
      <c r="Z204" s="10">
        <v>0.59222956000000027</v>
      </c>
      <c r="AA204" s="10">
        <v>2482.8584615999998</v>
      </c>
      <c r="AB204" s="10">
        <v>94.868480080000012</v>
      </c>
      <c r="AC204" s="10">
        <v>34588.078263939999</v>
      </c>
      <c r="AD204" s="10">
        <v>50550.719794649995</v>
      </c>
      <c r="AE204" s="10">
        <v>17621.201963750002</v>
      </c>
      <c r="AF204" s="10">
        <v>8766.1623328099995</v>
      </c>
      <c r="AG204" s="10">
        <v>3038.60198386</v>
      </c>
      <c r="AH204" s="10">
        <v>68.93180064000002</v>
      </c>
      <c r="AI204" s="10">
        <v>3358.8601716599997</v>
      </c>
    </row>
    <row r="205" spans="1:35" ht="15.75" x14ac:dyDescent="0.25">
      <c r="A205" s="13">
        <v>43556</v>
      </c>
      <c r="B205" s="10">
        <v>67581.900841780007</v>
      </c>
      <c r="C205" s="10">
        <v>5201.05729324</v>
      </c>
      <c r="D205" s="10">
        <v>89469.759984689998</v>
      </c>
      <c r="E205" s="10">
        <v>31030.216302270001</v>
      </c>
      <c r="F205" s="10">
        <v>36.921171539999996</v>
      </c>
      <c r="G205" s="10">
        <v>23686.727847800001</v>
      </c>
      <c r="H205" s="10">
        <v>5393.5704874300009</v>
      </c>
      <c r="I205" s="10">
        <v>1638.9185046700004</v>
      </c>
      <c r="J205" s="10">
        <v>726.68223350999995</v>
      </c>
      <c r="K205" s="10">
        <v>3300</v>
      </c>
      <c r="L205" s="10">
        <v>2300</v>
      </c>
      <c r="M205" s="10">
        <v>8382.9119039199995</v>
      </c>
      <c r="N205" s="10">
        <v>4594.1652549</v>
      </c>
      <c r="O205" s="10">
        <v>-6.232E-5</v>
      </c>
      <c r="P205" s="10">
        <v>-1.2464E-4</v>
      </c>
      <c r="Q205" s="10">
        <v>524.16933886999993</v>
      </c>
      <c r="R205" s="10">
        <v>1172.8487420900001</v>
      </c>
      <c r="S205" s="10" t="s">
        <v>69</v>
      </c>
      <c r="T205" s="10">
        <v>1688.9298754299998</v>
      </c>
      <c r="U205" s="10">
        <v>1368.43449422</v>
      </c>
      <c r="V205" s="10">
        <v>23820.329977580001</v>
      </c>
      <c r="W205" s="10">
        <v>8438.7457742000006</v>
      </c>
      <c r="X205" s="10">
        <v>205.19207165000003</v>
      </c>
      <c r="Y205" s="10">
        <v>3.406737E-2</v>
      </c>
      <c r="Z205" s="10">
        <v>1.3683181000000002</v>
      </c>
      <c r="AA205" s="10">
        <v>2649.5280082400009</v>
      </c>
      <c r="AB205" s="10">
        <v>95.691187479999996</v>
      </c>
      <c r="AC205" s="10">
        <v>36992.03057363999</v>
      </c>
      <c r="AD205" s="10">
        <v>58783.14807630999</v>
      </c>
      <c r="AE205" s="10">
        <v>18630.179137450003</v>
      </c>
      <c r="AF205" s="10">
        <v>9075.046327</v>
      </c>
      <c r="AG205" s="10">
        <v>2607.2401447799994</v>
      </c>
      <c r="AH205" s="10">
        <v>91.323344779999985</v>
      </c>
      <c r="AI205" s="10">
        <v>-3126.9976839100009</v>
      </c>
    </row>
    <row r="206" spans="1:35" ht="15.75" x14ac:dyDescent="0.25">
      <c r="A206" s="13">
        <v>43586</v>
      </c>
      <c r="B206" s="10">
        <v>122835.10381036</v>
      </c>
      <c r="C206" s="10">
        <v>6221.3253002700003</v>
      </c>
      <c r="D206" s="10">
        <v>86081.674356930002</v>
      </c>
      <c r="E206" s="10">
        <v>45391.628057440001</v>
      </c>
      <c r="F206" s="10">
        <v>107.33155175999998</v>
      </c>
      <c r="G206" s="10">
        <v>28704.375087479999</v>
      </c>
      <c r="H206" s="10">
        <v>5500.5118079499989</v>
      </c>
      <c r="I206" s="10">
        <v>1241.7843650100001</v>
      </c>
      <c r="J206" s="10">
        <v>691.01091482999982</v>
      </c>
      <c r="K206" s="10">
        <v>5300</v>
      </c>
      <c r="L206" s="10">
        <v>4500</v>
      </c>
      <c r="M206" s="10">
        <v>5563.8189397700007</v>
      </c>
      <c r="N206" s="10">
        <v>3079.3232268100001</v>
      </c>
      <c r="O206" s="10">
        <v>-6.232E-5</v>
      </c>
      <c r="P206" s="10">
        <v>-1.2464E-4</v>
      </c>
      <c r="Q206" s="10">
        <v>556.82337538000002</v>
      </c>
      <c r="R206" s="10">
        <v>535.76218709</v>
      </c>
      <c r="S206" s="10" t="s">
        <v>69</v>
      </c>
      <c r="T206" s="10">
        <v>1649.2314242899999</v>
      </c>
      <c r="U206" s="10">
        <v>1555.8174597399998</v>
      </c>
      <c r="V206" s="10">
        <v>38425.09384827</v>
      </c>
      <c r="W206" s="10">
        <v>11247.684004540002</v>
      </c>
      <c r="X206" s="10">
        <v>2972.6329139499999</v>
      </c>
      <c r="Y206" s="10">
        <v>6.5870000000000005E-5</v>
      </c>
      <c r="Z206" s="10">
        <v>2.2590841099999999</v>
      </c>
      <c r="AA206" s="10">
        <v>3265.6425235000002</v>
      </c>
      <c r="AB206" s="10">
        <v>105.91184963999997</v>
      </c>
      <c r="AC206" s="10">
        <v>37079.788439119991</v>
      </c>
      <c r="AD206" s="10">
        <v>49439.088199020007</v>
      </c>
      <c r="AE206" s="10">
        <v>18784.906075889994</v>
      </c>
      <c r="AF206" s="10">
        <v>9374.9432384799984</v>
      </c>
      <c r="AG206" s="10">
        <v>2930.7729570400002</v>
      </c>
      <c r="AH206" s="10">
        <v>93.984246920000004</v>
      </c>
      <c r="AI206" s="10">
        <v>1123.7610968100023</v>
      </c>
    </row>
    <row r="207" spans="1:35" ht="15.75" x14ac:dyDescent="0.25">
      <c r="A207" s="13">
        <v>43617</v>
      </c>
      <c r="B207" s="10">
        <v>131296.88988348999</v>
      </c>
      <c r="C207" s="10">
        <v>5556.6374715700003</v>
      </c>
      <c r="D207" s="10">
        <v>90942.989319319997</v>
      </c>
      <c r="E207" s="10">
        <v>38965.020933380001</v>
      </c>
      <c r="F207" s="10">
        <v>1010.6551408399999</v>
      </c>
      <c r="G207" s="10">
        <v>27330.99554068</v>
      </c>
      <c r="H207" s="10">
        <v>5491.59705424</v>
      </c>
      <c r="I207" s="10">
        <v>1348.0474674900001</v>
      </c>
      <c r="J207" s="10">
        <v>705.84259061000012</v>
      </c>
      <c r="K207" s="10">
        <v>2500</v>
      </c>
      <c r="L207" s="10">
        <v>3600</v>
      </c>
      <c r="M207" s="10">
        <v>6354.5867760700012</v>
      </c>
      <c r="N207" s="10">
        <v>4829.0845740100003</v>
      </c>
      <c r="O207" s="10">
        <v>5.4763299999999997E-3</v>
      </c>
      <c r="P207" s="10">
        <v>-1.2464E-4</v>
      </c>
      <c r="Q207" s="10">
        <v>680.92701514999999</v>
      </c>
      <c r="R207" s="10">
        <v>6384.9523516600002</v>
      </c>
      <c r="S207" s="10" t="s">
        <v>69</v>
      </c>
      <c r="T207" s="10">
        <v>1730.9660238900001</v>
      </c>
      <c r="U207" s="10">
        <v>1482.2638165799999</v>
      </c>
      <c r="V207" s="10">
        <v>28222.964313519999</v>
      </c>
      <c r="W207" s="10">
        <v>9827.1757346399991</v>
      </c>
      <c r="X207" s="10">
        <v>3256.0468924500001</v>
      </c>
      <c r="Y207" s="10">
        <v>6.232E-5</v>
      </c>
      <c r="Z207" s="10">
        <v>1.9372481399999999</v>
      </c>
      <c r="AA207" s="10">
        <v>2850.9922458500005</v>
      </c>
      <c r="AB207" s="10">
        <v>59.223854769999981</v>
      </c>
      <c r="AC207" s="10">
        <v>37731.864544410018</v>
      </c>
      <c r="AD207" s="10">
        <v>54554.607058380017</v>
      </c>
      <c r="AE207" s="10">
        <v>18682.23005713</v>
      </c>
      <c r="AF207" s="10">
        <v>9280.3813140700004</v>
      </c>
      <c r="AG207" s="10">
        <v>2838.71958189</v>
      </c>
      <c r="AH207" s="10">
        <v>90.131502979999979</v>
      </c>
      <c r="AI207" s="10">
        <v>3073.9744729200174</v>
      </c>
    </row>
    <row r="208" spans="1:35" ht="15.75" x14ac:dyDescent="0.25">
      <c r="A208" s="13">
        <v>43647</v>
      </c>
      <c r="B208" s="10">
        <v>92808.76854409001</v>
      </c>
      <c r="C208" s="10">
        <v>6192.3868877599998</v>
      </c>
      <c r="D208" s="10">
        <v>91344.061413899995</v>
      </c>
      <c r="E208" s="10">
        <v>43820.237643400003</v>
      </c>
      <c r="F208" s="10">
        <v>151.02964331999999</v>
      </c>
      <c r="G208" s="10">
        <v>29232.014679899999</v>
      </c>
      <c r="H208" s="10">
        <v>5540.9614652300006</v>
      </c>
      <c r="I208" s="10">
        <v>1519.5160441999999</v>
      </c>
      <c r="J208" s="10">
        <v>703.37991793000003</v>
      </c>
      <c r="K208" s="10">
        <v>4150</v>
      </c>
      <c r="L208" s="10">
        <v>2350</v>
      </c>
      <c r="M208" s="10">
        <v>5637.464452369999</v>
      </c>
      <c r="N208" s="10">
        <v>4788.9875242299995</v>
      </c>
      <c r="O208" s="10">
        <v>5.1845700000000008E-2</v>
      </c>
      <c r="P208" s="10">
        <v>-1.2464E-4</v>
      </c>
      <c r="Q208" s="10">
        <v>1420.7323182899997</v>
      </c>
      <c r="R208" s="10">
        <v>2107.8874185999998</v>
      </c>
      <c r="S208" s="10" t="s">
        <v>69</v>
      </c>
      <c r="T208" s="10">
        <v>1841.2568201500003</v>
      </c>
      <c r="U208" s="10">
        <v>1617.9450122000001</v>
      </c>
      <c r="V208" s="10">
        <v>29325.749854099999</v>
      </c>
      <c r="W208" s="10">
        <v>11308.969307159998</v>
      </c>
      <c r="X208" s="10">
        <v>3626.0639036900006</v>
      </c>
      <c r="Y208" s="10">
        <v>1.14262752</v>
      </c>
      <c r="Z208" s="10">
        <v>3.04101329</v>
      </c>
      <c r="AA208" s="10">
        <v>3069.2213453300001</v>
      </c>
      <c r="AB208" s="10">
        <v>136.54839795000001</v>
      </c>
      <c r="AC208" s="10">
        <v>51157.026817790007</v>
      </c>
      <c r="AD208" s="10">
        <v>73139.083560900006</v>
      </c>
      <c r="AE208" s="10">
        <v>27643.997264399997</v>
      </c>
      <c r="AF208" s="10">
        <v>13266.020065030001</v>
      </c>
      <c r="AG208" s="10">
        <v>2995.3409799499996</v>
      </c>
      <c r="AH208" s="10">
        <v>93.60933467000001</v>
      </c>
      <c r="AI208" s="10">
        <v>-30.930513499997904</v>
      </c>
    </row>
    <row r="209" spans="1:35" ht="15.75" x14ac:dyDescent="0.25">
      <c r="A209" s="13">
        <v>43678</v>
      </c>
      <c r="B209" s="10">
        <v>95507.946972689999</v>
      </c>
      <c r="C209" s="10">
        <v>7169.0287984400002</v>
      </c>
      <c r="D209" s="10">
        <v>94224.112742369995</v>
      </c>
      <c r="E209" s="10">
        <v>52020.616522960001</v>
      </c>
      <c r="F209" s="10">
        <v>8.0146290099999984</v>
      </c>
      <c r="G209" s="10">
        <v>31907.45552811</v>
      </c>
      <c r="H209" s="10">
        <v>5579.3077553000003</v>
      </c>
      <c r="I209" s="10">
        <v>1583.05509424</v>
      </c>
      <c r="J209" s="10">
        <v>766.25824068999998</v>
      </c>
      <c r="K209" s="10">
        <v>4850</v>
      </c>
      <c r="L209" s="10">
        <v>2150</v>
      </c>
      <c r="M209" s="10">
        <v>8091.6159376400001</v>
      </c>
      <c r="N209" s="10">
        <v>4845.9707388799998</v>
      </c>
      <c r="O209" s="10">
        <v>3.5064669999999999E-2</v>
      </c>
      <c r="P209" s="10">
        <v>-1.2464E-4</v>
      </c>
      <c r="Q209" s="10">
        <v>1678.93593601</v>
      </c>
      <c r="R209" s="10">
        <v>5588.9942955500001</v>
      </c>
      <c r="S209" s="10" t="s">
        <v>69</v>
      </c>
      <c r="T209" s="10">
        <v>1946.1539693899997</v>
      </c>
      <c r="U209" s="10">
        <v>1680.8494383300003</v>
      </c>
      <c r="V209" s="10">
        <v>39383.966324720001</v>
      </c>
      <c r="W209" s="10">
        <v>12680.514202029997</v>
      </c>
      <c r="X209" s="10">
        <v>3986.9154644400001</v>
      </c>
      <c r="Y209" s="10">
        <v>7.4099999999999999E-5</v>
      </c>
      <c r="Z209" s="10">
        <v>6.0214965099999995</v>
      </c>
      <c r="AA209" s="10">
        <v>3442.0022003200006</v>
      </c>
      <c r="AB209" s="10">
        <v>81.02624179</v>
      </c>
      <c r="AC209" s="10">
        <v>39097.673795529998</v>
      </c>
      <c r="AD209" s="10">
        <v>58467.08327083999</v>
      </c>
      <c r="AE209" s="10">
        <v>20642.673211869998</v>
      </c>
      <c r="AF209" s="10">
        <v>10181.454252509999</v>
      </c>
      <c r="AG209" s="10">
        <v>3240.5442895800002</v>
      </c>
      <c r="AH209" s="10">
        <v>92.860388740000005</v>
      </c>
      <c r="AI209" s="10">
        <v>-448.55927515000292</v>
      </c>
    </row>
    <row r="210" spans="1:35" ht="15.75" x14ac:dyDescent="0.25">
      <c r="A210" s="13">
        <v>43709</v>
      </c>
      <c r="B210" s="10">
        <v>76805.346957109999</v>
      </c>
      <c r="C210" s="10">
        <v>6893.8033093399999</v>
      </c>
      <c r="D210" s="10">
        <v>90670.933040830001</v>
      </c>
      <c r="E210" s="10">
        <v>51349.075537389996</v>
      </c>
      <c r="F210" s="10">
        <v>143.85122617000002</v>
      </c>
      <c r="G210" s="10">
        <v>31545.613276929998</v>
      </c>
      <c r="H210" s="10">
        <v>5793.6485603400015</v>
      </c>
      <c r="I210" s="10">
        <v>2102.1860144300003</v>
      </c>
      <c r="J210" s="10">
        <v>861.41023733999998</v>
      </c>
      <c r="K210" s="10">
        <v>2850</v>
      </c>
      <c r="L210" s="10">
        <v>1050</v>
      </c>
      <c r="M210" s="10">
        <v>9586.5104839899996</v>
      </c>
      <c r="N210" s="10">
        <v>6009.2753814100006</v>
      </c>
      <c r="O210" s="10">
        <v>6.0600000000000021E-6</v>
      </c>
      <c r="P210" s="10">
        <v>-1.2464E-4</v>
      </c>
      <c r="Q210" s="10">
        <v>1827.4968752000002</v>
      </c>
      <c r="R210" s="10">
        <v>1230.66813895</v>
      </c>
      <c r="S210" s="10" t="s">
        <v>69</v>
      </c>
      <c r="T210" s="10">
        <v>1121.9610031000002</v>
      </c>
      <c r="U210" s="10">
        <v>1535.7119207999999</v>
      </c>
      <c r="V210" s="10">
        <v>32147.98779848</v>
      </c>
      <c r="W210" s="10">
        <v>13115.061377899998</v>
      </c>
      <c r="X210" s="10">
        <v>4154.8628998700005</v>
      </c>
      <c r="Y210" s="10">
        <v>3.2602800000000004E-3</v>
      </c>
      <c r="Z210" s="10">
        <v>1.4623211599999999</v>
      </c>
      <c r="AA210" s="10">
        <v>3698.6364538199996</v>
      </c>
      <c r="AB210" s="10">
        <v>151.58276172999996</v>
      </c>
      <c r="AC210" s="10">
        <v>32563.051195280001</v>
      </c>
      <c r="AD210" s="10">
        <v>55796.16109998001</v>
      </c>
      <c r="AE210" s="10">
        <v>20849.950819170004</v>
      </c>
      <c r="AF210" s="10">
        <v>10480.270275629999</v>
      </c>
      <c r="AG210" s="10">
        <v>2733.49469804</v>
      </c>
      <c r="AH210" s="10">
        <v>96.04264169999999</v>
      </c>
      <c r="AI210" s="10">
        <v>971.05539613999827</v>
      </c>
    </row>
    <row r="211" spans="1:35" ht="15.75" x14ac:dyDescent="0.25">
      <c r="A211" s="13">
        <v>43739</v>
      </c>
      <c r="B211" s="10">
        <v>72312.278049899993</v>
      </c>
      <c r="C211" s="10">
        <v>7628.3870999500004</v>
      </c>
      <c r="D211" s="10">
        <v>97491.057880630004</v>
      </c>
      <c r="E211" s="10">
        <v>53159.813117519996</v>
      </c>
      <c r="F211" s="10">
        <v>201.55823644000006</v>
      </c>
      <c r="G211" s="10">
        <v>33977.829937920003</v>
      </c>
      <c r="H211" s="10">
        <v>5702.6749023800003</v>
      </c>
      <c r="I211" s="10">
        <v>3962.0017708100004</v>
      </c>
      <c r="J211" s="10">
        <v>766.05190573999982</v>
      </c>
      <c r="K211" s="10">
        <v>4400</v>
      </c>
      <c r="L211" s="10">
        <v>600</v>
      </c>
      <c r="M211" s="10">
        <v>6645.9123369099998</v>
      </c>
      <c r="N211" s="10">
        <v>5139.6327443700002</v>
      </c>
      <c r="O211" s="10">
        <v>3.5377902000000003</v>
      </c>
      <c r="P211" s="10">
        <v>-1.2464E-4</v>
      </c>
      <c r="Q211" s="10">
        <v>1645.9813868599999</v>
      </c>
      <c r="R211" s="10">
        <v>5616.5132426600003</v>
      </c>
      <c r="S211" s="10" t="s">
        <v>69</v>
      </c>
      <c r="T211" s="10">
        <v>1779.8045821100002</v>
      </c>
      <c r="U211" s="10">
        <v>1674.8545393300003</v>
      </c>
      <c r="V211" s="10">
        <v>38791.459631340003</v>
      </c>
      <c r="W211" s="10">
        <v>14713.048861990002</v>
      </c>
      <c r="X211" s="10">
        <v>4532.8084502299998</v>
      </c>
      <c r="Y211" s="10">
        <v>6.4900000000000005E-5</v>
      </c>
      <c r="Z211" s="10">
        <v>7.6564968799999971</v>
      </c>
      <c r="AA211" s="10">
        <v>3968.43124855</v>
      </c>
      <c r="AB211" s="10">
        <v>146.28210894999995</v>
      </c>
      <c r="AC211" s="10">
        <v>34936.603993599994</v>
      </c>
      <c r="AD211" s="10">
        <v>60511.918269729998</v>
      </c>
      <c r="AE211" s="10">
        <v>21530.354357710003</v>
      </c>
      <c r="AF211" s="10">
        <v>10820.489857750001</v>
      </c>
      <c r="AG211" s="10">
        <v>3256.9487990700004</v>
      </c>
      <c r="AH211" s="10">
        <v>94.236876739999971</v>
      </c>
      <c r="AI211" s="10">
        <v>637.09134057999529</v>
      </c>
    </row>
    <row r="212" spans="1:35" ht="15.75" x14ac:dyDescent="0.25">
      <c r="A212" s="13">
        <v>43770</v>
      </c>
      <c r="B212" s="10">
        <v>82311.229125180005</v>
      </c>
      <c r="C212" s="10">
        <v>6309.3037153999994</v>
      </c>
      <c r="D212" s="10">
        <v>105044.31017158</v>
      </c>
      <c r="E212" s="10">
        <v>43697.56779957001</v>
      </c>
      <c r="F212" s="10">
        <v>735.54652216000022</v>
      </c>
      <c r="G212" s="10">
        <v>35769.298988900002</v>
      </c>
      <c r="H212" s="10">
        <v>7682.4158363500001</v>
      </c>
      <c r="I212" s="10">
        <v>3726.3449871499997</v>
      </c>
      <c r="J212" s="10">
        <v>1080.3199195</v>
      </c>
      <c r="K212" s="10">
        <v>6100</v>
      </c>
      <c r="L212" s="10">
        <v>1900</v>
      </c>
      <c r="M212" s="10">
        <v>8085.8388080699997</v>
      </c>
      <c r="N212" s="10">
        <v>6423.166847890001</v>
      </c>
      <c r="O212" s="10">
        <v>9.6747849999999996E-2</v>
      </c>
      <c r="P212" s="10">
        <v>-1.2464E-4</v>
      </c>
      <c r="Q212" s="10">
        <v>1155.4127031499997</v>
      </c>
      <c r="R212" s="10">
        <v>1047.7777455400001</v>
      </c>
      <c r="S212" s="10" t="s">
        <v>69</v>
      </c>
      <c r="T212" s="10">
        <v>1943.0462204199996</v>
      </c>
      <c r="U212" s="10">
        <v>1873.8885061999999</v>
      </c>
      <c r="V212" s="10">
        <v>53763.519903979999</v>
      </c>
      <c r="W212" s="10">
        <v>12630.168448020002</v>
      </c>
      <c r="X212" s="10">
        <v>3699.3959764600004</v>
      </c>
      <c r="Y212" s="10">
        <v>6.232E-5</v>
      </c>
      <c r="Z212" s="10">
        <v>1.6045746799999998</v>
      </c>
      <c r="AA212" s="10">
        <v>3263.0399628300006</v>
      </c>
      <c r="AB212" s="10">
        <v>93.034082170000005</v>
      </c>
      <c r="AC212" s="10">
        <v>42910.658366550015</v>
      </c>
      <c r="AD212" s="10">
        <v>63112.303603710003</v>
      </c>
      <c r="AE212" s="10">
        <v>21884.537716809999</v>
      </c>
      <c r="AF212" s="10">
        <v>11014.852009989998</v>
      </c>
      <c r="AG212" s="10">
        <v>3209.075407459999</v>
      </c>
      <c r="AH212" s="10">
        <v>90.319787339999976</v>
      </c>
      <c r="AI212" s="10">
        <v>23.607106700001751</v>
      </c>
    </row>
    <row r="213" spans="1:35" ht="15.75" x14ac:dyDescent="0.25">
      <c r="A213" s="13">
        <v>43800</v>
      </c>
      <c r="B213" s="10">
        <v>96316.2</v>
      </c>
      <c r="C213" s="10">
        <v>6142.5</v>
      </c>
      <c r="D213" s="10">
        <v>97983.4</v>
      </c>
      <c r="E213" s="10">
        <v>43638.5</v>
      </c>
      <c r="F213" s="10">
        <v>146.92484363</v>
      </c>
      <c r="G213" s="10">
        <v>35888</v>
      </c>
      <c r="H213" s="10">
        <v>6708.8713326900006</v>
      </c>
      <c r="I213" s="10">
        <v>4053.5067180799997</v>
      </c>
      <c r="J213" s="10">
        <v>1050.4853743199999</v>
      </c>
      <c r="K213" s="10">
        <v>7200</v>
      </c>
      <c r="L213" s="10">
        <v>5200</v>
      </c>
      <c r="M213" s="10">
        <v>10437.561615240002</v>
      </c>
      <c r="N213" s="10">
        <v>10603.365231530001</v>
      </c>
      <c r="O213" s="10">
        <v>0.15806667000000002</v>
      </c>
      <c r="P213" s="10">
        <v>-1.3309999999999998E-4</v>
      </c>
      <c r="Q213" s="10">
        <v>876.33650838000005</v>
      </c>
      <c r="R213" s="10">
        <v>5566.5</v>
      </c>
      <c r="S213" s="10" t="s">
        <v>69</v>
      </c>
      <c r="T213" s="10">
        <v>2017.8124288299996</v>
      </c>
      <c r="U213" s="10">
        <v>1643.0086691899999</v>
      </c>
      <c r="V213" s="10">
        <v>63099.4</v>
      </c>
      <c r="W213" s="10">
        <v>12040.395812249999</v>
      </c>
      <c r="X213" s="10">
        <v>3648.2905923399994</v>
      </c>
      <c r="Y213" s="10">
        <v>6.6549999999999991E-5</v>
      </c>
      <c r="Z213" s="10">
        <v>2.9239162900000002</v>
      </c>
      <c r="AA213" s="10">
        <v>3196.4338220600007</v>
      </c>
      <c r="AB213" s="10">
        <v>101.26054213</v>
      </c>
      <c r="AC213" s="10">
        <v>47639.422791739999</v>
      </c>
      <c r="AD213" s="10">
        <v>63712.580827419995</v>
      </c>
      <c r="AE213" s="10">
        <v>22516.705629880002</v>
      </c>
      <c r="AF213" s="10">
        <v>10780.879856620002</v>
      </c>
      <c r="AG213" s="10">
        <v>2804.8609306100007</v>
      </c>
      <c r="AH213" s="10">
        <v>91.130551730000036</v>
      </c>
      <c r="AI213" s="10">
        <v>-6863.9305364399979</v>
      </c>
    </row>
    <row r="214" spans="1:35" ht="15.75" x14ac:dyDescent="0.25">
      <c r="A214" s="13">
        <v>43831</v>
      </c>
      <c r="B214" s="10">
        <v>88895.628504909997</v>
      </c>
      <c r="C214" s="10">
        <v>7246.6913851999998</v>
      </c>
      <c r="D214" s="10">
        <v>122375.98768980001</v>
      </c>
      <c r="E214" s="10">
        <v>50202.573421709996</v>
      </c>
      <c r="F214" s="10">
        <v>2096.7248503000001</v>
      </c>
      <c r="G214" s="10">
        <v>35776.151070109998</v>
      </c>
      <c r="H214" s="10">
        <v>4651.6864317</v>
      </c>
      <c r="I214" s="10">
        <v>4485.5111009699995</v>
      </c>
      <c r="J214" s="10">
        <v>923.91822936999995</v>
      </c>
      <c r="K214" s="10">
        <v>1883</v>
      </c>
      <c r="L214" s="10">
        <v>861</v>
      </c>
      <c r="M214" s="10">
        <v>8157.5137241399998</v>
      </c>
      <c r="N214" s="10">
        <v>2675.4141288299998</v>
      </c>
      <c r="O214" s="10" t="e">
        <f>#REF!</f>
        <v>#REF!</v>
      </c>
      <c r="P214" s="10" t="e">
        <f>#REF!</f>
        <v>#REF!</v>
      </c>
      <c r="Q214" s="10" t="e">
        <f>#REF!</f>
        <v>#REF!</v>
      </c>
      <c r="R214" s="10">
        <v>869.24530095</v>
      </c>
      <c r="S214" s="10">
        <v>3181.05566834</v>
      </c>
      <c r="T214" s="10">
        <v>27704.913588100007</v>
      </c>
      <c r="U214" s="10">
        <v>1784.1421822300001</v>
      </c>
      <c r="V214" s="10">
        <v>23979.278282259998</v>
      </c>
      <c r="W214" s="10">
        <v>13757.308127720002</v>
      </c>
      <c r="X214" s="10">
        <v>2657.7686970300006</v>
      </c>
      <c r="Y214" s="10">
        <v>6.6549999999999991E-5</v>
      </c>
      <c r="Z214" s="10">
        <v>1.6266137099999991</v>
      </c>
      <c r="AA214" s="10">
        <v>3575.0445549999999</v>
      </c>
      <c r="AB214" s="10">
        <v>76.213964729999972</v>
      </c>
      <c r="AC214" s="10">
        <v>60942.698609840001</v>
      </c>
      <c r="AD214" s="10">
        <v>88910.424055799973</v>
      </c>
      <c r="AE214" s="10">
        <v>33640.253409910001</v>
      </c>
      <c r="AF214" s="10">
        <v>15904.265246440002</v>
      </c>
      <c r="AG214" s="10">
        <v>3820.9145732899997</v>
      </c>
      <c r="AH214" s="10">
        <v>92.064992029999956</v>
      </c>
      <c r="AI214" s="10">
        <v>3579.3110489800038</v>
      </c>
    </row>
    <row r="215" spans="1:35" ht="15.75" x14ac:dyDescent="0.25">
      <c r="A215" s="13">
        <v>43862</v>
      </c>
      <c r="B215" s="10">
        <v>87340.320368949993</v>
      </c>
      <c r="C215" s="10">
        <v>5776.0497887399997</v>
      </c>
      <c r="D215" s="10">
        <v>106414.08069562001</v>
      </c>
      <c r="E215" s="10">
        <v>39773.247942949994</v>
      </c>
      <c r="F215" s="10">
        <v>1589.2545702999998</v>
      </c>
      <c r="G215" s="10">
        <v>35248.77760134</v>
      </c>
      <c r="H215" s="10">
        <v>8399.4271735300008</v>
      </c>
      <c r="I215" s="10">
        <v>4049.2890360699998</v>
      </c>
      <c r="J215" s="10">
        <v>1156.6277860399996</v>
      </c>
      <c r="K215" s="10">
        <v>4190</v>
      </c>
      <c r="L215" s="10">
        <v>584</v>
      </c>
      <c r="M215" s="10">
        <v>9026.6431109999994</v>
      </c>
      <c r="N215" s="10">
        <v>5776.8525205299993</v>
      </c>
      <c r="O215" s="10" t="e">
        <f>#REF!</f>
        <v>#REF!</v>
      </c>
      <c r="P215" s="10" t="e">
        <f>#REF!</f>
        <v>#REF!</v>
      </c>
      <c r="Q215" s="10" t="e">
        <f>#REF!</f>
        <v>#REF!</v>
      </c>
      <c r="R215" s="10">
        <v>5185.3098947500002</v>
      </c>
      <c r="S215" s="10">
        <v>7537.1677020899997</v>
      </c>
      <c r="T215" s="10">
        <v>23507.613063699999</v>
      </c>
      <c r="U215" s="10">
        <v>1383.22865469</v>
      </c>
      <c r="V215" s="10">
        <v>21099.773868079999</v>
      </c>
      <c r="W215" s="10">
        <v>9983.9596682100018</v>
      </c>
      <c r="X215" s="10">
        <v>1951.91996509</v>
      </c>
      <c r="Y215" s="10">
        <v>7.8650000000000014E-5</v>
      </c>
      <c r="Z215" s="10">
        <v>3.3043762100000005</v>
      </c>
      <c r="AA215" s="10">
        <v>2970.5449340600003</v>
      </c>
      <c r="AB215" s="10">
        <v>156.91477891999997</v>
      </c>
      <c r="AC215" s="10">
        <v>48689.93346488</v>
      </c>
      <c r="AD215" s="10">
        <v>73925.518989149961</v>
      </c>
      <c r="AE215" s="10">
        <v>26102.147947789999</v>
      </c>
      <c r="AF215" s="10">
        <v>12327.184278939996</v>
      </c>
      <c r="AG215" s="10">
        <v>3966.5726062300005</v>
      </c>
      <c r="AH215" s="10">
        <v>90.012218279999999</v>
      </c>
      <c r="AI215" s="10">
        <v>476.01510494999684</v>
      </c>
    </row>
    <row r="216" spans="1:35" ht="15.75" x14ac:dyDescent="0.25">
      <c r="A216" s="13">
        <v>43891</v>
      </c>
      <c r="B216" s="10">
        <v>73430.900664040004</v>
      </c>
      <c r="C216" s="10">
        <v>6031.3651496700004</v>
      </c>
      <c r="D216" s="10">
        <v>99168.678083350009</v>
      </c>
      <c r="E216" s="10">
        <v>43992.09779634</v>
      </c>
      <c r="F216" s="10">
        <v>723.66124020000007</v>
      </c>
      <c r="G216" s="10">
        <v>32316.5160607</v>
      </c>
      <c r="H216" s="10">
        <v>5574.11623771</v>
      </c>
      <c r="I216" s="10">
        <v>3010.2528234200008</v>
      </c>
      <c r="J216" s="10">
        <v>1064.55106196</v>
      </c>
      <c r="K216" s="10">
        <v>6990.4</v>
      </c>
      <c r="L216" s="10">
        <v>600</v>
      </c>
      <c r="M216" s="10">
        <v>5747.1032768199993</v>
      </c>
      <c r="N216" s="10">
        <v>5166.9164475299995</v>
      </c>
      <c r="O216" s="10" t="e">
        <f>#REF!</f>
        <v>#REF!</v>
      </c>
      <c r="P216" s="10" t="e">
        <f>#REF!</f>
        <v>#REF!</v>
      </c>
      <c r="Q216" s="10" t="e">
        <f>#REF!</f>
        <v>#REF!</v>
      </c>
      <c r="R216" s="10">
        <v>1613.8620855300001</v>
      </c>
      <c r="S216" s="10">
        <v>6399.9082203600001</v>
      </c>
      <c r="T216" s="10">
        <v>21628.068499599998</v>
      </c>
      <c r="U216" s="10">
        <v>1321.0852484699999</v>
      </c>
      <c r="V216" s="10">
        <v>28999.137079399999</v>
      </c>
      <c r="W216" s="10">
        <v>11424.311705620003</v>
      </c>
      <c r="X216" s="10">
        <v>2198.9901941299995</v>
      </c>
      <c r="Y216" s="10">
        <v>1.5930409999999999E-2</v>
      </c>
      <c r="Z216" s="10">
        <v>0.41498975000000005</v>
      </c>
      <c r="AA216" s="10">
        <v>3292.0889747300002</v>
      </c>
      <c r="AB216" s="10">
        <v>71.382081989999989</v>
      </c>
      <c r="AC216" s="10">
        <v>48533.850319819998</v>
      </c>
      <c r="AD216" s="10">
        <v>72097.494134190012</v>
      </c>
      <c r="AE216" s="10">
        <v>25977.977130489999</v>
      </c>
      <c r="AF216" s="10">
        <v>12130.629989360001</v>
      </c>
      <c r="AG216" s="10">
        <v>3771.5053219299998</v>
      </c>
      <c r="AH216" s="10">
        <v>88.911440459999994</v>
      </c>
      <c r="AI216" s="10">
        <v>706.1767904099944</v>
      </c>
    </row>
    <row r="217" spans="1:35" ht="15.75" x14ac:dyDescent="0.25">
      <c r="A217" s="13">
        <v>43922</v>
      </c>
      <c r="B217" s="10">
        <v>67130.424816409999</v>
      </c>
      <c r="C217" s="10">
        <v>6352.8997205200003</v>
      </c>
      <c r="D217" s="10">
        <v>87435.279553740023</v>
      </c>
      <c r="E217" s="10">
        <v>41091.944150859999</v>
      </c>
      <c r="F217" s="10">
        <v>1284.3264928999999</v>
      </c>
      <c r="G217" s="10">
        <v>29436.484164360001</v>
      </c>
      <c r="H217" s="10">
        <v>1537.12141438</v>
      </c>
      <c r="I217" s="10">
        <v>4441.4814057099993</v>
      </c>
      <c r="J217" s="10">
        <v>550.99549410999998</v>
      </c>
      <c r="K217" s="10">
        <v>1643</v>
      </c>
      <c r="L217" s="10">
        <v>5020</v>
      </c>
      <c r="M217" s="10">
        <v>5032.1214436700002</v>
      </c>
      <c r="N217" s="10">
        <v>5790.3648866700005</v>
      </c>
      <c r="O217" s="10" t="e">
        <f>#REF!</f>
        <v>#REF!</v>
      </c>
      <c r="P217" s="10" t="e">
        <f>#REF!</f>
        <v>#REF!</v>
      </c>
      <c r="Q217" s="10" t="e">
        <f>#REF!</f>
        <v>#REF!</v>
      </c>
      <c r="R217" s="10">
        <v>7108.6948085200002</v>
      </c>
      <c r="S217" s="10">
        <v>4564.0972862500003</v>
      </c>
      <c r="T217" s="10">
        <v>18008.514339999994</v>
      </c>
      <c r="U217" s="10">
        <v>880.66599967000002</v>
      </c>
      <c r="V217" s="10">
        <v>28172.085395180002</v>
      </c>
      <c r="W217" s="10">
        <v>9815.6589517299999</v>
      </c>
      <c r="X217" s="10">
        <v>2233.70241652</v>
      </c>
      <c r="Y217" s="10">
        <v>2.389879E-2</v>
      </c>
      <c r="Z217" s="10">
        <v>2.2623634299999997</v>
      </c>
      <c r="AA217" s="10">
        <v>3135.4479785799995</v>
      </c>
      <c r="AB217" s="10">
        <v>45.532453680000003</v>
      </c>
      <c r="AC217" s="10">
        <v>41380.855315739987</v>
      </c>
      <c r="AD217" s="10">
        <v>57601.493172200004</v>
      </c>
      <c r="AE217" s="10">
        <v>25026.140929360005</v>
      </c>
      <c r="AF217" s="10">
        <v>10970.92228726</v>
      </c>
      <c r="AG217" s="10">
        <v>4136.0814520000004</v>
      </c>
      <c r="AH217" s="10">
        <v>107.54261283999999</v>
      </c>
      <c r="AI217" s="10">
        <v>395.64279980999942</v>
      </c>
    </row>
    <row r="218" spans="1:35" ht="15.75" x14ac:dyDescent="0.25">
      <c r="A218" s="13">
        <v>43952</v>
      </c>
      <c r="B218" s="10">
        <v>134043.711993</v>
      </c>
      <c r="C218" s="10">
        <v>7276.3369936199997</v>
      </c>
      <c r="D218" s="10">
        <v>89254.284163979988</v>
      </c>
      <c r="E218" s="10">
        <v>44911.592867239997</v>
      </c>
      <c r="F218" s="10">
        <v>736.34917279999979</v>
      </c>
      <c r="G218" s="10">
        <v>35025.776623919999</v>
      </c>
      <c r="H218" s="10">
        <v>4754.4554307699991</v>
      </c>
      <c r="I218" s="10">
        <v>4594.6253646800005</v>
      </c>
      <c r="J218" s="10">
        <v>480.79398697000005</v>
      </c>
      <c r="K218" s="10">
        <v>3410</v>
      </c>
      <c r="L218" s="10">
        <v>4468</v>
      </c>
      <c r="M218" s="10">
        <v>5542.965400009999</v>
      </c>
      <c r="N218" s="10">
        <v>5799.1010686899999</v>
      </c>
      <c r="O218" s="10" t="e">
        <f>#REF!</f>
        <v>#REF!</v>
      </c>
      <c r="P218" s="10" t="e">
        <f>#REF!</f>
        <v>#REF!</v>
      </c>
      <c r="Q218" s="10" t="e">
        <f>#REF!</f>
        <v>#REF!</v>
      </c>
      <c r="R218" s="10">
        <v>6791.0311191800001</v>
      </c>
      <c r="S218" s="10">
        <v>11906.568543019999</v>
      </c>
      <c r="T218" s="10">
        <v>17922.285504200001</v>
      </c>
      <c r="U218" s="10">
        <v>1313.1194328500001</v>
      </c>
      <c r="V218" s="10">
        <v>24752.755525389999</v>
      </c>
      <c r="W218" s="10">
        <v>11252.411451260001</v>
      </c>
      <c r="X218" s="10">
        <v>2477.9653975399992</v>
      </c>
      <c r="Y218" s="10">
        <v>1.931308E-2</v>
      </c>
      <c r="Z218" s="10">
        <v>1.1179436599999999</v>
      </c>
      <c r="AA218" s="10">
        <v>3337.7076328899998</v>
      </c>
      <c r="AB218" s="10">
        <v>104.65217455000003</v>
      </c>
      <c r="AC218" s="10">
        <v>42532.623214259998</v>
      </c>
      <c r="AD218" s="10">
        <v>59074.69937058998</v>
      </c>
      <c r="AE218" s="10">
        <v>24744.357594789999</v>
      </c>
      <c r="AF218" s="10">
        <v>11208.041395600001</v>
      </c>
      <c r="AG218" s="10">
        <v>4246.3803436500002</v>
      </c>
      <c r="AH218" s="10">
        <v>116.75379728999999</v>
      </c>
      <c r="AI218" s="10">
        <v>13217.327185980002</v>
      </c>
    </row>
    <row r="219" spans="1:35" ht="15.75" x14ac:dyDescent="0.25">
      <c r="A219" s="13">
        <v>43983</v>
      </c>
      <c r="B219" s="10">
        <v>142253.92025535999</v>
      </c>
      <c r="C219" s="10">
        <v>7986.7656318999998</v>
      </c>
      <c r="D219" s="10">
        <v>94522.834368450014</v>
      </c>
      <c r="E219" s="10">
        <v>49287.148881660003</v>
      </c>
      <c r="F219" s="10">
        <v>452.17513650000006</v>
      </c>
      <c r="G219" s="10">
        <v>33859.551777410001</v>
      </c>
      <c r="H219" s="10">
        <v>10358.09607532</v>
      </c>
      <c r="I219" s="10">
        <v>5131.4132036999999</v>
      </c>
      <c r="J219" s="10">
        <v>1662.7390497199999</v>
      </c>
      <c r="K219" s="10">
        <v>2328</v>
      </c>
      <c r="L219" s="10">
        <v>2207</v>
      </c>
      <c r="M219" s="10">
        <v>4497.20113382</v>
      </c>
      <c r="N219" s="10">
        <v>6967.542574600001</v>
      </c>
      <c r="O219" s="10" t="e">
        <f>#REF!</f>
        <v>#REF!</v>
      </c>
      <c r="P219" s="10" t="e">
        <f>#REF!</f>
        <v>#REF!</v>
      </c>
      <c r="Q219" s="10" t="e">
        <f>#REF!</f>
        <v>#REF!</v>
      </c>
      <c r="R219" s="10">
        <v>25002.059543830001</v>
      </c>
      <c r="S219" s="10">
        <v>14115.870680440001</v>
      </c>
      <c r="T219" s="10">
        <v>28592.789389199999</v>
      </c>
      <c r="U219" s="10">
        <v>983.01477866999994</v>
      </c>
      <c r="V219" s="10">
        <v>36153.842281689998</v>
      </c>
      <c r="W219" s="10">
        <v>12065.149954530003</v>
      </c>
      <c r="X219" s="10">
        <v>2811.8710808000005</v>
      </c>
      <c r="Y219" s="10">
        <v>8.146000000000001E-5</v>
      </c>
      <c r="Z219" s="10">
        <v>1.8643066799999997</v>
      </c>
      <c r="AA219" s="10">
        <v>3692.3050060499995</v>
      </c>
      <c r="AB219" s="10">
        <v>72.345438060000021</v>
      </c>
      <c r="AC219" s="10">
        <v>44938.094651400002</v>
      </c>
      <c r="AD219" s="10">
        <v>66771.786043269996</v>
      </c>
      <c r="AE219" s="10">
        <v>25518.84861764</v>
      </c>
      <c r="AF219" s="10">
        <v>12101.500108539998</v>
      </c>
      <c r="AG219" s="10">
        <v>5183.19989463</v>
      </c>
      <c r="AH219" s="10">
        <v>124.25312690000003</v>
      </c>
      <c r="AI219" s="10">
        <v>-13656.681153379996</v>
      </c>
    </row>
    <row r="220" spans="1:35" ht="15.75" x14ac:dyDescent="0.25">
      <c r="A220" s="13">
        <v>44013</v>
      </c>
      <c r="B220" s="10">
        <v>99374.491975189987</v>
      </c>
      <c r="C220" s="10">
        <v>8244.3061495000002</v>
      </c>
      <c r="D220" s="10">
        <v>94276.303131669993</v>
      </c>
      <c r="E220" s="10">
        <v>52958.592640930001</v>
      </c>
      <c r="F220" s="10">
        <v>583.99803060000011</v>
      </c>
      <c r="G220" s="10">
        <v>37020.017692339999</v>
      </c>
      <c r="H220" s="10">
        <v>21280.262845760004</v>
      </c>
      <c r="I220" s="10">
        <v>5168.1211033499994</v>
      </c>
      <c r="J220" s="10">
        <v>1237.4174183799998</v>
      </c>
      <c r="K220" s="10">
        <v>3050</v>
      </c>
      <c r="L220" s="10">
        <v>3104</v>
      </c>
      <c r="M220" s="10">
        <v>7621.5115441800008</v>
      </c>
      <c r="N220" s="10">
        <v>7571.1691280500008</v>
      </c>
      <c r="O220" s="10" t="e">
        <f>#REF!</f>
        <v>#REF!</v>
      </c>
      <c r="P220" s="10" t="e">
        <f>#REF!</f>
        <v>#REF!</v>
      </c>
      <c r="Q220" s="10" t="e">
        <f>#REF!</f>
        <v>#REF!</v>
      </c>
      <c r="R220" s="10">
        <v>9240.1901209999996</v>
      </c>
      <c r="S220" s="10">
        <v>20017.89405934</v>
      </c>
      <c r="T220" s="10">
        <v>26483.907384699996</v>
      </c>
      <c r="U220" s="10">
        <v>1146.81413376</v>
      </c>
      <c r="V220" s="10">
        <v>33034.166956840003</v>
      </c>
      <c r="W220" s="10">
        <v>12702.591103430001</v>
      </c>
      <c r="X220" s="10">
        <v>2910.0776817800001</v>
      </c>
      <c r="Y220" s="10">
        <v>9.2865999999999999E-4</v>
      </c>
      <c r="Z220" s="10">
        <v>1.4905966299999995</v>
      </c>
      <c r="AA220" s="10">
        <v>4668.1102919599998</v>
      </c>
      <c r="AB220" s="10">
        <v>83.651724160000015</v>
      </c>
      <c r="AC220" s="10">
        <v>60954.745754700016</v>
      </c>
      <c r="AD220" s="10">
        <v>86236.866803299985</v>
      </c>
      <c r="AE220" s="10">
        <v>36202.234478020007</v>
      </c>
      <c r="AF220" s="10">
        <v>15854.569063639996</v>
      </c>
      <c r="AG220" s="10">
        <v>4862.7534716600012</v>
      </c>
      <c r="AH220" s="10">
        <v>118.03741588999998</v>
      </c>
      <c r="AI220" s="10">
        <v>-48.754327459996233</v>
      </c>
    </row>
    <row r="221" spans="1:35" ht="15.75" x14ac:dyDescent="0.25">
      <c r="A221" s="13">
        <v>44044</v>
      </c>
      <c r="B221" s="10">
        <v>133109.70666448001</v>
      </c>
      <c r="C221" s="10">
        <v>8005.5390427900002</v>
      </c>
      <c r="D221" s="10">
        <v>107902.97734052999</v>
      </c>
      <c r="E221" s="10">
        <v>55373.731571539996</v>
      </c>
      <c r="F221" s="10">
        <v>94.75470900000002</v>
      </c>
      <c r="G221" s="10">
        <v>38506.078882039998</v>
      </c>
      <c r="H221" s="10">
        <v>7117.5592904100013</v>
      </c>
      <c r="I221" s="10">
        <v>6224.837105409998</v>
      </c>
      <c r="J221" s="10">
        <v>1143.22887158</v>
      </c>
      <c r="K221" s="10">
        <v>5300</v>
      </c>
      <c r="L221" s="10">
        <v>3000</v>
      </c>
      <c r="M221" s="10">
        <v>8218.1806713599999</v>
      </c>
      <c r="N221" s="10">
        <v>9042.9171811899996</v>
      </c>
      <c r="O221" s="10" t="e">
        <f>#REF!</f>
        <v>#REF!</v>
      </c>
      <c r="P221" s="10" t="e">
        <f>#REF!</f>
        <v>#REF!</v>
      </c>
      <c r="Q221" s="10" t="e">
        <f>#REF!</f>
        <v>#REF!</v>
      </c>
      <c r="R221" s="10">
        <v>43879.384260339997</v>
      </c>
      <c r="S221" s="10">
        <v>21888.51761273</v>
      </c>
      <c r="T221" s="10">
        <v>24737.931765400008</v>
      </c>
      <c r="U221" s="10">
        <v>1853.7008924999998</v>
      </c>
      <c r="V221" s="10">
        <v>37023.406808849999</v>
      </c>
      <c r="W221" s="10">
        <v>13524.281477289998</v>
      </c>
      <c r="X221" s="10">
        <v>3001.1808376899994</v>
      </c>
      <c r="Y221" s="10">
        <v>7.8760000000000012E-5</v>
      </c>
      <c r="Z221" s="10">
        <v>1.4285174599999992</v>
      </c>
      <c r="AA221" s="10">
        <v>4780.0092973500005</v>
      </c>
      <c r="AB221" s="10">
        <v>74.395447039999993</v>
      </c>
      <c r="AC221" s="10">
        <v>48599.49123746001</v>
      </c>
      <c r="AD221" s="10">
        <v>70564.222787949999</v>
      </c>
      <c r="AE221" s="10">
        <v>27179.778976060006</v>
      </c>
      <c r="AF221" s="10">
        <v>12449.11134304</v>
      </c>
      <c r="AG221" s="10">
        <v>4307.3957691699998</v>
      </c>
      <c r="AH221" s="10">
        <v>125.50207965000001</v>
      </c>
      <c r="AI221" s="10">
        <v>2012.6334145800008</v>
      </c>
    </row>
    <row r="222" spans="1:35" ht="15.75" x14ac:dyDescent="0.25">
      <c r="A222" s="13">
        <v>44075</v>
      </c>
      <c r="B222" s="10">
        <v>111463.37020509002</v>
      </c>
      <c r="C222" s="10">
        <v>9181.2766932600007</v>
      </c>
      <c r="D222" s="10">
        <v>109002.83715059</v>
      </c>
      <c r="E222" s="10">
        <v>66806.331979900002</v>
      </c>
      <c r="F222" s="10">
        <v>578.51648020000005</v>
      </c>
      <c r="G222" s="10">
        <v>40405.768754320001</v>
      </c>
      <c r="H222" s="10">
        <v>10239.27817903</v>
      </c>
      <c r="I222" s="10">
        <v>6302.7936558799993</v>
      </c>
      <c r="J222" s="10">
        <v>1110.0920418399999</v>
      </c>
      <c r="K222" s="10">
        <v>4943.3</v>
      </c>
      <c r="L222" s="10">
        <v>3695.6</v>
      </c>
      <c r="M222" s="10" t="e">
        <f>#REF!</f>
        <v>#REF!</v>
      </c>
      <c r="N222" s="10" t="e">
        <f>#REF!</f>
        <v>#REF!</v>
      </c>
      <c r="O222" s="10" t="e">
        <f>#REF!</f>
        <v>#REF!</v>
      </c>
      <c r="P222" s="10" t="e">
        <f>#REF!</f>
        <v>#REF!</v>
      </c>
      <c r="Q222" s="10" t="e">
        <f>#REF!</f>
        <v>#REF!</v>
      </c>
      <c r="R222" s="10">
        <v>23006.235724339997</v>
      </c>
      <c r="S222" s="10">
        <v>208579.777867</v>
      </c>
      <c r="T222" s="10">
        <v>25437.183040600001</v>
      </c>
      <c r="U222" s="10">
        <v>1650.7822984299996</v>
      </c>
      <c r="V222" s="10">
        <v>46358.877659229991</v>
      </c>
      <c r="W222" s="10">
        <v>16222.46631817</v>
      </c>
      <c r="X222" s="10">
        <v>3563.1242861599994</v>
      </c>
      <c r="Y222" s="10">
        <v>7.8650000000000014E-5</v>
      </c>
      <c r="Z222" s="10">
        <v>1.0863359500000001</v>
      </c>
      <c r="AA222" s="10">
        <v>5732.0087573800001</v>
      </c>
      <c r="AB222" s="10">
        <v>73.168001049999987</v>
      </c>
      <c r="AC222" s="10">
        <v>51132.038310759992</v>
      </c>
      <c r="AD222" s="10">
        <v>73304.910534289986</v>
      </c>
      <c r="AE222" s="10">
        <v>26915.441262869994</v>
      </c>
      <c r="AF222" s="10">
        <v>12584.253248189998</v>
      </c>
      <c r="AG222" s="10">
        <v>4412.1240580399999</v>
      </c>
      <c r="AH222" s="10">
        <v>114.96221253999998</v>
      </c>
      <c r="AI222" s="10">
        <v>2181.6026162799976</v>
      </c>
    </row>
    <row r="223" spans="1:35" ht="15.75" x14ac:dyDescent="0.25">
      <c r="A223" s="13">
        <v>44105</v>
      </c>
      <c r="B223" s="10">
        <v>131034.67466239999</v>
      </c>
      <c r="C223" s="10">
        <v>9635.6904640699995</v>
      </c>
      <c r="D223" s="10">
        <v>123231.56377632997</v>
      </c>
      <c r="E223" s="10">
        <v>68524.174681230012</v>
      </c>
      <c r="F223" s="10">
        <v>46.712997090000002</v>
      </c>
      <c r="G223" s="10">
        <v>42743.130980540001</v>
      </c>
      <c r="H223" s="10">
        <v>7585.5483022199996</v>
      </c>
      <c r="I223" s="10">
        <v>6560.3182023299996</v>
      </c>
      <c r="J223" s="10">
        <v>1241.5718001700002</v>
      </c>
      <c r="K223" s="10">
        <v>3738</v>
      </c>
      <c r="L223" s="10">
        <v>3032</v>
      </c>
      <c r="M223" s="10" t="s">
        <v>69</v>
      </c>
      <c r="N223" s="10" t="s">
        <v>69</v>
      </c>
      <c r="O223" s="10" t="s">
        <v>69</v>
      </c>
      <c r="P223" s="10" t="s">
        <v>69</v>
      </c>
      <c r="Q223" s="10" t="s">
        <v>69</v>
      </c>
      <c r="R223" s="10">
        <v>38883.879896419989</v>
      </c>
      <c r="S223" s="10">
        <v>8527.0818185599983</v>
      </c>
      <c r="T223" s="10">
        <v>2533.8149177</v>
      </c>
      <c r="U223" s="10">
        <v>1718.8014056399995</v>
      </c>
      <c r="V223" s="10">
        <v>39471.775785669997</v>
      </c>
      <c r="W223" s="10">
        <v>17044.222118769998</v>
      </c>
      <c r="X223" s="10">
        <v>3668.6815908899998</v>
      </c>
      <c r="Y223" s="10">
        <v>7.8650000000000014E-5</v>
      </c>
      <c r="Z223" s="10">
        <v>1.2173470799999999</v>
      </c>
      <c r="AA223" s="10">
        <v>5990.7622424700003</v>
      </c>
      <c r="AB223" s="10">
        <v>116.69931559</v>
      </c>
      <c r="AC223" s="10">
        <v>52870.817899230002</v>
      </c>
      <c r="AD223" s="10">
        <v>74299.166399329988</v>
      </c>
      <c r="AE223" s="10">
        <v>27416.733324409997</v>
      </c>
      <c r="AF223" s="10">
        <v>13199.964712639996</v>
      </c>
      <c r="AG223" s="10">
        <v>4374.3237329799986</v>
      </c>
      <c r="AH223" s="10">
        <v>121.98737159000001</v>
      </c>
      <c r="AI223" s="10">
        <v>3576.6382797999904</v>
      </c>
    </row>
    <row r="224" spans="1:35" ht="15.75" x14ac:dyDescent="0.25">
      <c r="A224" s="13">
        <v>44136</v>
      </c>
      <c r="B224" s="10">
        <v>146786.67196075001</v>
      </c>
      <c r="C224" s="10">
        <v>9815.1111176300037</v>
      </c>
      <c r="D224" s="10">
        <v>123604.38635915999</v>
      </c>
      <c r="E224" s="10">
        <v>71365.294361179986</v>
      </c>
      <c r="F224" s="10">
        <v>1.3850734599999985</v>
      </c>
      <c r="G224" s="10">
        <v>45499.905702139986</v>
      </c>
      <c r="H224" s="10">
        <v>10472.08110356</v>
      </c>
      <c r="I224" s="10">
        <v>7061.3074733699996</v>
      </c>
      <c r="J224" s="10">
        <v>1460.2007773799999</v>
      </c>
      <c r="K224" s="10">
        <v>2600</v>
      </c>
      <c r="L224" s="10">
        <v>2600</v>
      </c>
      <c r="M224" s="10" t="s">
        <v>69</v>
      </c>
      <c r="N224" s="10" t="s">
        <v>69</v>
      </c>
      <c r="O224" s="10" t="s">
        <v>69</v>
      </c>
      <c r="P224" s="10" t="s">
        <v>69</v>
      </c>
      <c r="Q224" s="10" t="s">
        <v>69</v>
      </c>
      <c r="R224" s="10">
        <v>19511.439884729996</v>
      </c>
      <c r="S224" s="10">
        <v>8480.1199793000014</v>
      </c>
      <c r="T224" s="10">
        <v>2558.9069304300001</v>
      </c>
      <c r="U224" s="10">
        <v>1852.95133504</v>
      </c>
      <c r="V224" s="10">
        <v>40259.48146367001</v>
      </c>
      <c r="W224" s="10">
        <v>17230.879886850002</v>
      </c>
      <c r="X224" s="10">
        <v>3589.8779512799997</v>
      </c>
      <c r="Y224" s="10">
        <v>7.8650000000000014E-5</v>
      </c>
      <c r="Z224" s="10">
        <v>1.3989388399999998</v>
      </c>
      <c r="AA224" s="10">
        <v>5953.2699998100006</v>
      </c>
      <c r="AB224" s="10">
        <v>138.45173993000003</v>
      </c>
      <c r="AC224" s="10">
        <v>52722.367405789999</v>
      </c>
      <c r="AD224" s="10">
        <v>75789.513623880033</v>
      </c>
      <c r="AE224" s="10">
        <v>28455.568285320001</v>
      </c>
      <c r="AF224" s="10">
        <v>13248.754303439999</v>
      </c>
      <c r="AG224" s="10">
        <v>4421.5021249599995</v>
      </c>
      <c r="AH224" s="10">
        <v>120.19467633000004</v>
      </c>
      <c r="AI224" s="10">
        <v>-1803.8386730700008</v>
      </c>
    </row>
    <row r="225" spans="1:35" ht="15.75" x14ac:dyDescent="0.25">
      <c r="A225" s="13">
        <v>44166</v>
      </c>
      <c r="B225" s="10">
        <v>156324.72549403997</v>
      </c>
      <c r="C225" s="10">
        <v>10562.769606839998</v>
      </c>
      <c r="D225" s="10">
        <v>132324.34826564</v>
      </c>
      <c r="E225" s="10">
        <v>77760.502544380011</v>
      </c>
      <c r="F225" s="10">
        <v>31.346418749999994</v>
      </c>
      <c r="G225" s="10">
        <v>46620.958325700005</v>
      </c>
      <c r="H225" s="10">
        <v>9974.5259021499987</v>
      </c>
      <c r="I225" s="10">
        <v>6654.1710509099994</v>
      </c>
      <c r="J225" s="10">
        <v>1352.42792102</v>
      </c>
      <c r="K225" s="10">
        <v>6100</v>
      </c>
      <c r="L225" s="10">
        <v>3010</v>
      </c>
      <c r="M225" s="10" t="s">
        <v>69</v>
      </c>
      <c r="N225" s="10" t="s">
        <v>69</v>
      </c>
      <c r="O225" s="10" t="s">
        <v>69</v>
      </c>
      <c r="P225" s="10" t="s">
        <v>69</v>
      </c>
      <c r="Q225" s="10" t="s">
        <v>69</v>
      </c>
      <c r="R225" s="10">
        <v>26290.272760890002</v>
      </c>
      <c r="S225" s="10">
        <v>7494.7613821399991</v>
      </c>
      <c r="T225" s="10">
        <v>2673.9021353600001</v>
      </c>
      <c r="U225" s="10">
        <v>2213.0619339</v>
      </c>
      <c r="V225" s="10">
        <v>28338.165086839988</v>
      </c>
      <c r="W225" s="10">
        <v>19864.906204109997</v>
      </c>
      <c r="X225" s="10">
        <v>3783.3207375099996</v>
      </c>
      <c r="Y225" s="10">
        <v>4.4972999999999996E-4</v>
      </c>
      <c r="Z225" s="10">
        <v>2.7816860300000004</v>
      </c>
      <c r="AA225" s="10">
        <v>6155.2085266599997</v>
      </c>
      <c r="AB225" s="10">
        <v>137.80869938000001</v>
      </c>
      <c r="AC225" s="10">
        <v>54929.823064149983</v>
      </c>
      <c r="AD225" s="10">
        <v>78785.676822520007</v>
      </c>
      <c r="AE225" s="10">
        <v>29386.114603350001</v>
      </c>
      <c r="AF225" s="26">
        <v>13711.758158660001</v>
      </c>
      <c r="AG225" s="26">
        <v>4515.1664454300007</v>
      </c>
      <c r="AH225" s="26">
        <v>122.88109649</v>
      </c>
      <c r="AI225" s="26">
        <v>-4419.5704633799942</v>
      </c>
    </row>
  </sheetData>
  <mergeCells count="31">
    <mergeCell ref="A6:A9"/>
    <mergeCell ref="B6:AI6"/>
    <mergeCell ref="B7:U7"/>
    <mergeCell ref="V7:AB7"/>
    <mergeCell ref="AC7:AI7"/>
    <mergeCell ref="B8:C8"/>
    <mergeCell ref="D8:E8"/>
    <mergeCell ref="F8:F9"/>
    <mergeCell ref="G8:G9"/>
    <mergeCell ref="H8:I8"/>
    <mergeCell ref="Z8:Z9"/>
    <mergeCell ref="J8:J9"/>
    <mergeCell ref="K8:L8"/>
    <mergeCell ref="M8:Q8"/>
    <mergeCell ref="R8:R9"/>
    <mergeCell ref="S8:S9"/>
    <mergeCell ref="T8:T9"/>
    <mergeCell ref="U8:U9"/>
    <mergeCell ref="V8:V9"/>
    <mergeCell ref="W8:W9"/>
    <mergeCell ref="X8:X9"/>
    <mergeCell ref="Y8:Y9"/>
    <mergeCell ref="AG8:AG9"/>
    <mergeCell ref="AH8:AH9"/>
    <mergeCell ref="AI8:AI9"/>
    <mergeCell ref="AA8:AA9"/>
    <mergeCell ref="AB8:AB9"/>
    <mergeCell ref="AC8:AC9"/>
    <mergeCell ref="AD8:AD9"/>
    <mergeCell ref="AE8:AE9"/>
    <mergeCell ref="AF8:AF9"/>
  </mergeCells>
  <hyperlinks>
    <hyperlink ref="B4" r:id="rId1" xr:uid="{1D5E4D43-D29B-47AD-8EC5-886FA835AB8B}"/>
    <hyperlink ref="E4" location="INDICE!A1" display="Vover al indice" xr:uid="{505B0287-F569-4BA9-8933-28C57E08438F}"/>
  </hyperlinks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D25FF-6653-408E-8BF1-DDD4E20E35A2}">
  <dimension ref="A1:AI81"/>
  <sheetViews>
    <sheetView zoomScaleNormal="100" workbookViewId="0">
      <pane xSplit="1" ySplit="9" topLeftCell="B78" activePane="bottomRight" state="frozen"/>
      <selection pane="topRight" activeCell="B1" sqref="B1"/>
      <selection pane="bottomLeft" activeCell="A8" sqref="A8"/>
      <selection pane="bottomRight" activeCell="B81" sqref="B81"/>
    </sheetView>
  </sheetViews>
  <sheetFormatPr baseColWidth="10" defaultColWidth="11.42578125" defaultRowHeight="15" x14ac:dyDescent="0.25"/>
  <cols>
    <col min="2" max="2" width="11.85546875" bestFit="1" customWidth="1"/>
    <col min="3" max="3" width="11.5703125" bestFit="1" customWidth="1"/>
    <col min="4" max="5" width="11.85546875" bestFit="1" customWidth="1"/>
    <col min="6" max="6" width="11.5703125" bestFit="1" customWidth="1"/>
    <col min="7" max="7" width="11.85546875" bestFit="1" customWidth="1"/>
    <col min="8" max="18" width="11.5703125" bestFit="1" customWidth="1"/>
    <col min="19" max="19" width="11.85546875" bestFit="1" customWidth="1"/>
    <col min="20" max="20" width="11.5703125" bestFit="1" customWidth="1"/>
    <col min="21" max="22" width="11.85546875" bestFit="1" customWidth="1"/>
    <col min="23" max="28" width="11.5703125" bestFit="1" customWidth="1"/>
    <col min="29" max="30" width="11.85546875" bestFit="1" customWidth="1"/>
    <col min="31" max="35" width="11.5703125" bestFit="1" customWidth="1"/>
  </cols>
  <sheetData>
    <row r="1" spans="1:35" ht="23.25" x14ac:dyDescent="0.35">
      <c r="A1" s="17" t="s">
        <v>25</v>
      </c>
    </row>
    <row r="2" spans="1:35" ht="21" x14ac:dyDescent="0.35">
      <c r="A2" s="18" t="s">
        <v>70</v>
      </c>
    </row>
    <row r="3" spans="1:35" x14ac:dyDescent="0.25">
      <c r="A3" t="s">
        <v>186</v>
      </c>
    </row>
    <row r="4" spans="1:35" x14ac:dyDescent="0.25">
      <c r="A4" t="s">
        <v>28</v>
      </c>
      <c r="B4" s="35" t="s">
        <v>29</v>
      </c>
      <c r="E4" s="35" t="s">
        <v>215</v>
      </c>
    </row>
    <row r="6" spans="1:35" ht="15.75" x14ac:dyDescent="0.25">
      <c r="A6" s="63" t="s">
        <v>31</v>
      </c>
      <c r="B6" s="53" t="s">
        <v>32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</row>
    <row r="7" spans="1:35" ht="15.75" x14ac:dyDescent="0.25">
      <c r="A7" s="63"/>
      <c r="B7" s="56" t="s">
        <v>33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5" t="s">
        <v>34</v>
      </c>
      <c r="W7" s="56"/>
      <c r="X7" s="56"/>
      <c r="Y7" s="56"/>
      <c r="Z7" s="56"/>
      <c r="AA7" s="56"/>
      <c r="AB7" s="57"/>
      <c r="AC7" s="58" t="s">
        <v>35</v>
      </c>
      <c r="AD7" s="59"/>
      <c r="AE7" s="59"/>
      <c r="AF7" s="59"/>
      <c r="AG7" s="59"/>
      <c r="AH7" s="59"/>
      <c r="AI7" s="59"/>
    </row>
    <row r="8" spans="1:35" ht="15.75" x14ac:dyDescent="0.25">
      <c r="A8" s="63"/>
      <c r="B8" s="56" t="s">
        <v>36</v>
      </c>
      <c r="C8" s="57"/>
      <c r="D8" s="55" t="s">
        <v>37</v>
      </c>
      <c r="E8" s="56"/>
      <c r="F8" s="65" t="s">
        <v>38</v>
      </c>
      <c r="G8" s="65" t="s">
        <v>39</v>
      </c>
      <c r="H8" s="60" t="s">
        <v>40</v>
      </c>
      <c r="I8" s="60"/>
      <c r="J8" s="65" t="s">
        <v>41</v>
      </c>
      <c r="K8" s="60" t="s">
        <v>42</v>
      </c>
      <c r="L8" s="60"/>
      <c r="M8" s="62" t="s">
        <v>176</v>
      </c>
      <c r="N8" s="60"/>
      <c r="O8" s="60"/>
      <c r="P8" s="60"/>
      <c r="Q8" s="60"/>
      <c r="R8" s="65" t="s">
        <v>44</v>
      </c>
      <c r="S8" s="65" t="s">
        <v>45</v>
      </c>
      <c r="T8" s="65" t="s">
        <v>46</v>
      </c>
      <c r="U8" s="65" t="s">
        <v>47</v>
      </c>
      <c r="V8" s="66" t="s">
        <v>48</v>
      </c>
      <c r="W8" s="65" t="s">
        <v>49</v>
      </c>
      <c r="X8" s="65" t="s">
        <v>50</v>
      </c>
      <c r="Y8" s="65" t="s">
        <v>51</v>
      </c>
      <c r="Z8" s="65" t="s">
        <v>52</v>
      </c>
      <c r="AA8" s="65" t="s">
        <v>53</v>
      </c>
      <c r="AB8" s="65" t="s">
        <v>54</v>
      </c>
      <c r="AC8" s="65" t="s">
        <v>211</v>
      </c>
      <c r="AD8" s="65" t="s">
        <v>212</v>
      </c>
      <c r="AE8" s="65" t="s">
        <v>56</v>
      </c>
      <c r="AF8" s="65" t="s">
        <v>57</v>
      </c>
      <c r="AG8" s="65" t="s">
        <v>213</v>
      </c>
      <c r="AH8" s="65" t="s">
        <v>214</v>
      </c>
      <c r="AI8" s="65" t="s">
        <v>60</v>
      </c>
    </row>
    <row r="9" spans="1:35" ht="63" x14ac:dyDescent="0.25">
      <c r="A9" s="63"/>
      <c r="B9" s="19" t="s">
        <v>61</v>
      </c>
      <c r="C9" s="15" t="s">
        <v>62</v>
      </c>
      <c r="D9" s="19" t="s">
        <v>63</v>
      </c>
      <c r="E9" s="19" t="s">
        <v>64</v>
      </c>
      <c r="F9" s="64"/>
      <c r="G9" s="64"/>
      <c r="H9" s="19" t="s">
        <v>65</v>
      </c>
      <c r="I9" s="19" t="s">
        <v>54</v>
      </c>
      <c r="J9" s="64"/>
      <c r="K9" s="19" t="s">
        <v>66</v>
      </c>
      <c r="L9" s="19" t="s">
        <v>67</v>
      </c>
      <c r="M9" s="16" t="s">
        <v>181</v>
      </c>
      <c r="N9" s="19" t="s">
        <v>182</v>
      </c>
      <c r="O9" s="19" t="s">
        <v>183</v>
      </c>
      <c r="P9" s="19" t="s">
        <v>184</v>
      </c>
      <c r="Q9" s="19" t="s">
        <v>185</v>
      </c>
      <c r="R9" s="64"/>
      <c r="S9" s="64"/>
      <c r="T9" s="64"/>
      <c r="U9" s="64"/>
      <c r="V9" s="66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</row>
    <row r="10" spans="1:35" ht="15.75" x14ac:dyDescent="0.25">
      <c r="A10" t="s">
        <v>99</v>
      </c>
      <c r="B10" s="10">
        <v>2582.92405521</v>
      </c>
      <c r="C10" s="10">
        <v>98.880253079999989</v>
      </c>
      <c r="D10" s="10">
        <v>3888.1653683799996</v>
      </c>
      <c r="E10" s="10">
        <v>1573.38938115</v>
      </c>
      <c r="F10" s="10">
        <v>155.37586869999998</v>
      </c>
      <c r="G10" s="10">
        <v>1331.3000000000002</v>
      </c>
      <c r="H10" s="10">
        <v>401.31997669999998</v>
      </c>
      <c r="I10" s="10">
        <v>98.196252560000005</v>
      </c>
      <c r="J10" s="10">
        <v>55.111617059999986</v>
      </c>
      <c r="K10" s="10">
        <v>922.04520263999996</v>
      </c>
      <c r="L10" s="10">
        <v>332.22924404999998</v>
      </c>
      <c r="M10" s="10">
        <v>440.07181273999998</v>
      </c>
      <c r="N10" s="10">
        <v>290.89462902000002</v>
      </c>
      <c r="O10" s="10">
        <v>263.75281847999997</v>
      </c>
      <c r="P10" s="10">
        <v>64.916719180000001</v>
      </c>
      <c r="Q10" s="10">
        <v>29.155381250000001</v>
      </c>
      <c r="R10" s="10">
        <v>96.1</v>
      </c>
      <c r="S10" s="10" t="s">
        <v>69</v>
      </c>
      <c r="T10" s="10">
        <v>61.512031480000005</v>
      </c>
      <c r="U10" s="10">
        <v>87.815380210000001</v>
      </c>
      <c r="V10" s="10">
        <v>2023.37895265</v>
      </c>
      <c r="W10" s="10">
        <v>396.33406911000003</v>
      </c>
      <c r="X10" s="10">
        <v>12.668718629999999</v>
      </c>
      <c r="Y10" s="10">
        <v>4.4242280000000002E-2</v>
      </c>
      <c r="Z10" s="10">
        <v>0.50880087000000007</v>
      </c>
      <c r="AA10" s="10" t="s">
        <v>69</v>
      </c>
      <c r="AB10" s="10">
        <v>11.524388070000001</v>
      </c>
      <c r="AC10" s="10">
        <v>1041.2591932099999</v>
      </c>
      <c r="AD10" s="10">
        <v>1872.8486897500002</v>
      </c>
      <c r="AE10" s="10">
        <v>759.93470811999998</v>
      </c>
      <c r="AF10" s="10">
        <v>202.0674041</v>
      </c>
      <c r="AG10" s="10">
        <v>65.19684620999999</v>
      </c>
      <c r="AH10" s="10" t="s">
        <v>69</v>
      </c>
      <c r="AI10" s="10">
        <v>-13.576325610000008</v>
      </c>
    </row>
    <row r="11" spans="1:35" ht="15.75" x14ac:dyDescent="0.25">
      <c r="A11" t="s">
        <v>100</v>
      </c>
      <c r="B11" s="10">
        <v>4653.1475373800004</v>
      </c>
      <c r="C11" s="10">
        <v>119.72136430999998</v>
      </c>
      <c r="D11" s="10">
        <v>3999.6690221999997</v>
      </c>
      <c r="E11" s="10">
        <v>1873.5884610100002</v>
      </c>
      <c r="F11" s="10">
        <v>463.50613276999997</v>
      </c>
      <c r="G11" s="10">
        <v>1428.8522368700001</v>
      </c>
      <c r="H11" s="10">
        <v>393.25665211</v>
      </c>
      <c r="I11" s="10">
        <v>93.44451955000001</v>
      </c>
      <c r="J11" s="10">
        <v>63.019004510000002</v>
      </c>
      <c r="K11" s="10">
        <v>1170.8523902700001</v>
      </c>
      <c r="L11" s="10">
        <v>338.00559795000009</v>
      </c>
      <c r="M11" s="10">
        <v>388.76949263999995</v>
      </c>
      <c r="N11" s="10">
        <v>393.48709215999997</v>
      </c>
      <c r="O11" s="10">
        <v>381.18001812</v>
      </c>
      <c r="P11" s="10">
        <v>69.790089250000008</v>
      </c>
      <c r="Q11" s="10">
        <v>33.633905849999998</v>
      </c>
      <c r="R11" s="10">
        <v>803.56700522999995</v>
      </c>
      <c r="S11" s="10" t="s">
        <v>69</v>
      </c>
      <c r="T11" s="10">
        <v>72.921991129999995</v>
      </c>
      <c r="U11" s="10">
        <v>92.847846379999993</v>
      </c>
      <c r="V11" s="10">
        <v>2708.7149827500002</v>
      </c>
      <c r="W11" s="10">
        <v>477.05229395000009</v>
      </c>
      <c r="X11" s="10">
        <v>14.370959619999999</v>
      </c>
      <c r="Y11" s="10">
        <v>-9.6600499999999999E-3</v>
      </c>
      <c r="Z11" s="10">
        <v>0.63281955000000001</v>
      </c>
      <c r="AA11" s="10" t="s">
        <v>69</v>
      </c>
      <c r="AB11" s="10">
        <v>15.653735430000001</v>
      </c>
      <c r="AC11" s="10">
        <v>1083.9614841800001</v>
      </c>
      <c r="AD11" s="10">
        <v>1684.6615036999999</v>
      </c>
      <c r="AE11" s="10">
        <v>715.9115929699999</v>
      </c>
      <c r="AF11" s="10">
        <v>197.40021415000001</v>
      </c>
      <c r="AG11" s="10">
        <v>71.845496589999996</v>
      </c>
      <c r="AH11" s="10" t="s">
        <v>69</v>
      </c>
      <c r="AI11" s="10">
        <v>-2.4361514700000009</v>
      </c>
    </row>
    <row r="12" spans="1:35" ht="15.75" x14ac:dyDescent="0.25">
      <c r="A12" t="s">
        <v>101</v>
      </c>
      <c r="B12" s="10">
        <v>3358.0265271899998</v>
      </c>
      <c r="C12" s="10">
        <v>154.82996713</v>
      </c>
      <c r="D12" s="10">
        <v>4368.1707135300003</v>
      </c>
      <c r="E12" s="10">
        <v>2378.6967672000001</v>
      </c>
      <c r="F12" s="10">
        <v>371.85096226999997</v>
      </c>
      <c r="G12" s="10">
        <v>1505.3128780100001</v>
      </c>
      <c r="H12" s="10">
        <v>457.39189462000002</v>
      </c>
      <c r="I12" s="10">
        <v>121.33268932</v>
      </c>
      <c r="J12" s="10">
        <v>66.821901459999992</v>
      </c>
      <c r="K12" s="10">
        <v>1046.3494778899999</v>
      </c>
      <c r="L12" s="10">
        <v>346.76842132999991</v>
      </c>
      <c r="M12" s="10">
        <v>392.35333437999998</v>
      </c>
      <c r="N12" s="10">
        <v>370.03805498000003</v>
      </c>
      <c r="O12" s="10">
        <v>344.24452145000004</v>
      </c>
      <c r="P12" s="10">
        <v>74.479603580000003</v>
      </c>
      <c r="Q12" s="10">
        <v>42.599234099999997</v>
      </c>
      <c r="R12" s="10">
        <v>412.58823993000004</v>
      </c>
      <c r="S12" s="10" t="s">
        <v>69</v>
      </c>
      <c r="T12" s="10">
        <v>75.585831749999983</v>
      </c>
      <c r="U12" s="10">
        <v>94.241104269999994</v>
      </c>
      <c r="V12" s="10">
        <v>2222.7586334299999</v>
      </c>
      <c r="W12" s="10">
        <v>611.08524624999995</v>
      </c>
      <c r="X12" s="10">
        <v>15.64230304</v>
      </c>
      <c r="Y12" s="10">
        <v>-39.589567960000004</v>
      </c>
      <c r="Z12" s="10">
        <v>0.66004700999999999</v>
      </c>
      <c r="AA12" s="10" t="s">
        <v>69</v>
      </c>
      <c r="AB12" s="10">
        <v>19.973774160000001</v>
      </c>
      <c r="AC12" s="10">
        <v>1300.4621768300001</v>
      </c>
      <c r="AD12" s="10">
        <v>2082.4614625099998</v>
      </c>
      <c r="AE12" s="10">
        <v>854.09886608000011</v>
      </c>
      <c r="AF12" s="10">
        <v>235.34010845999995</v>
      </c>
      <c r="AG12" s="10">
        <v>78.97770374000001</v>
      </c>
      <c r="AH12" s="10" t="s">
        <v>69</v>
      </c>
      <c r="AI12" s="10">
        <v>4.5222142000000041</v>
      </c>
    </row>
    <row r="13" spans="1:35" ht="15.75" x14ac:dyDescent="0.25">
      <c r="A13" t="s">
        <v>102</v>
      </c>
      <c r="B13" s="10">
        <v>3610.5283307999998</v>
      </c>
      <c r="C13" s="10">
        <v>172.67858555000001</v>
      </c>
      <c r="D13" s="10">
        <v>4377.5341892300003</v>
      </c>
      <c r="E13" s="10">
        <v>2828.4620396999999</v>
      </c>
      <c r="F13" s="10">
        <v>372.03581245999999</v>
      </c>
      <c r="G13" s="10">
        <v>1634.7535219300003</v>
      </c>
      <c r="H13" s="10">
        <v>518.18123070000001</v>
      </c>
      <c r="I13" s="10">
        <v>148.90874178000001</v>
      </c>
      <c r="J13" s="10">
        <v>71.352209510000009</v>
      </c>
      <c r="K13" s="10">
        <v>1200.8560977</v>
      </c>
      <c r="L13" s="10">
        <v>350.20352695999998</v>
      </c>
      <c r="M13" s="10">
        <v>387.91326454</v>
      </c>
      <c r="N13" s="10">
        <v>474.36139032000005</v>
      </c>
      <c r="O13" s="10">
        <v>403.50061748999997</v>
      </c>
      <c r="P13" s="10">
        <v>86.674191589999992</v>
      </c>
      <c r="Q13" s="10">
        <v>41.360466509999995</v>
      </c>
      <c r="R13" s="10">
        <v>290.53134338000001</v>
      </c>
      <c r="S13" s="10" t="s">
        <v>69</v>
      </c>
      <c r="T13" s="10">
        <v>72.721529019999991</v>
      </c>
      <c r="U13" s="10">
        <v>100.90951000999999</v>
      </c>
      <c r="V13" s="10">
        <v>2257.0456969399997</v>
      </c>
      <c r="W13" s="10">
        <v>743.73817089000011</v>
      </c>
      <c r="X13" s="10">
        <v>17.777999750000003</v>
      </c>
      <c r="Y13" s="10">
        <v>-156.18413068000001</v>
      </c>
      <c r="Z13" s="10">
        <v>0.64855707000000007</v>
      </c>
      <c r="AA13" s="10" t="s">
        <v>69</v>
      </c>
      <c r="AB13" s="10">
        <v>23.933947529999998</v>
      </c>
      <c r="AC13" s="10">
        <v>1266.6551244000002</v>
      </c>
      <c r="AD13" s="10">
        <v>1993.61112658</v>
      </c>
      <c r="AE13" s="10">
        <v>799.50435062000008</v>
      </c>
      <c r="AF13" s="10">
        <v>240.87894560000001</v>
      </c>
      <c r="AG13" s="10">
        <v>78.647066100000004</v>
      </c>
      <c r="AH13" s="10" t="s">
        <v>69</v>
      </c>
      <c r="AI13" s="10">
        <v>10.17213682</v>
      </c>
    </row>
    <row r="14" spans="1:35" ht="15.75" x14ac:dyDescent="0.25">
      <c r="A14" t="s">
        <v>103</v>
      </c>
      <c r="B14" s="10">
        <v>3211.5</v>
      </c>
      <c r="C14" s="10">
        <v>167.70000000000002</v>
      </c>
      <c r="D14" s="10">
        <v>4969.1000000000004</v>
      </c>
      <c r="E14" s="10">
        <v>2576.1999999999998</v>
      </c>
      <c r="F14" s="10">
        <v>360.20000000000005</v>
      </c>
      <c r="G14" s="10">
        <v>1728.6</v>
      </c>
      <c r="H14" s="10">
        <v>561.50716098999999</v>
      </c>
      <c r="I14" s="10">
        <v>159.26543136999999</v>
      </c>
      <c r="J14" s="10">
        <v>84.632504549999993</v>
      </c>
      <c r="K14" s="10">
        <v>600.29999999999995</v>
      </c>
      <c r="L14" s="10">
        <v>300</v>
      </c>
      <c r="M14" s="10">
        <v>432.2098967</v>
      </c>
      <c r="N14" s="10">
        <v>290.62257900999998</v>
      </c>
      <c r="O14" s="10">
        <v>262.62219089000001</v>
      </c>
      <c r="P14" s="10">
        <v>70.243655939999996</v>
      </c>
      <c r="Q14" s="10">
        <v>34.439828520000006</v>
      </c>
      <c r="R14" s="10">
        <v>163.9</v>
      </c>
      <c r="S14" s="10" t="s">
        <v>69</v>
      </c>
      <c r="T14" s="10">
        <v>80.587107669999995</v>
      </c>
      <c r="U14" s="10">
        <v>98.817312889999982</v>
      </c>
      <c r="V14" s="10">
        <v>1966.0000000000002</v>
      </c>
      <c r="W14" s="10">
        <v>658.98185536999995</v>
      </c>
      <c r="X14" s="10">
        <v>17.369305180000001</v>
      </c>
      <c r="Y14" s="10">
        <v>28.214399</v>
      </c>
      <c r="Z14" s="10">
        <v>0.83954717000000001</v>
      </c>
      <c r="AA14" s="10" t="s">
        <v>69</v>
      </c>
      <c r="AB14" s="10">
        <v>108.11545702999999</v>
      </c>
      <c r="AC14" s="10">
        <v>1587.9148552700001</v>
      </c>
      <c r="AD14" s="10">
        <v>2461.74899198</v>
      </c>
      <c r="AE14" s="10">
        <v>987.85476643000015</v>
      </c>
      <c r="AF14" s="10">
        <v>306.18891717999998</v>
      </c>
      <c r="AG14" s="10">
        <v>89.554486280000006</v>
      </c>
      <c r="AH14" s="10" t="s">
        <v>69</v>
      </c>
      <c r="AI14" s="10">
        <v>3.7410031600000035</v>
      </c>
    </row>
    <row r="15" spans="1:35" ht="15.75" x14ac:dyDescent="0.25">
      <c r="A15" t="s">
        <v>104</v>
      </c>
      <c r="B15" s="10">
        <v>9314.6084280399991</v>
      </c>
      <c r="C15" s="10">
        <v>206.36498392999999</v>
      </c>
      <c r="D15" s="10">
        <v>4921.1628671799999</v>
      </c>
      <c r="E15" s="10">
        <v>3233.47354567</v>
      </c>
      <c r="F15" s="10">
        <v>325.05417385999999</v>
      </c>
      <c r="G15" s="10">
        <v>1894.01620422</v>
      </c>
      <c r="H15" s="10">
        <v>502.95183091000001</v>
      </c>
      <c r="I15" s="10">
        <v>175.28226176999999</v>
      </c>
      <c r="J15" s="10">
        <v>74.739276719999978</v>
      </c>
      <c r="K15" s="10">
        <v>484.57591445999998</v>
      </c>
      <c r="L15" s="10">
        <v>350</v>
      </c>
      <c r="M15" s="10">
        <v>392.40963528999998</v>
      </c>
      <c r="N15" s="10">
        <v>461.24822714999993</v>
      </c>
      <c r="O15" s="10">
        <v>413.02425934999997</v>
      </c>
      <c r="P15" s="10">
        <v>79.293857700000018</v>
      </c>
      <c r="Q15" s="10">
        <v>36.704259989999997</v>
      </c>
      <c r="R15" s="10">
        <v>968.47950672000002</v>
      </c>
      <c r="S15" s="10" t="s">
        <v>69</v>
      </c>
      <c r="T15" s="10">
        <v>62.191479930000014</v>
      </c>
      <c r="U15" s="10">
        <v>100.48072629000001</v>
      </c>
      <c r="V15" s="10">
        <v>2971.0823126600003</v>
      </c>
      <c r="W15" s="10">
        <v>760.23078721000002</v>
      </c>
      <c r="X15" s="10">
        <v>19.900426060000001</v>
      </c>
      <c r="Y15" s="10">
        <v>-6.7602366600000003</v>
      </c>
      <c r="Z15" s="10">
        <v>0.87815198000000005</v>
      </c>
      <c r="AA15" s="10" t="s">
        <v>69</v>
      </c>
      <c r="AB15" s="10">
        <v>100.11263708000001</v>
      </c>
      <c r="AC15" s="10">
        <v>1495.9618279500003</v>
      </c>
      <c r="AD15" s="10">
        <v>2265.6684426499996</v>
      </c>
      <c r="AE15" s="10">
        <v>907.88856061000001</v>
      </c>
      <c r="AF15" s="10">
        <v>295.16707139000005</v>
      </c>
      <c r="AG15" s="10">
        <v>71.996944389999996</v>
      </c>
      <c r="AH15" s="10" t="s">
        <v>69</v>
      </c>
      <c r="AI15" s="10">
        <v>22.069418029999994</v>
      </c>
    </row>
    <row r="16" spans="1:35" ht="15.75" x14ac:dyDescent="0.25">
      <c r="A16" t="s">
        <v>105</v>
      </c>
      <c r="B16" s="10">
        <v>4619.2095042000001</v>
      </c>
      <c r="C16" s="10">
        <v>257.03837170000003</v>
      </c>
      <c r="D16" s="10">
        <v>5272.3254336299997</v>
      </c>
      <c r="E16" s="10">
        <v>3543.3055625799998</v>
      </c>
      <c r="F16" s="10">
        <v>265.15609334999999</v>
      </c>
      <c r="G16" s="10">
        <v>1990.50254129</v>
      </c>
      <c r="H16" s="10">
        <v>563.08824742000002</v>
      </c>
      <c r="I16" s="10">
        <v>193.72911707999998</v>
      </c>
      <c r="J16" s="10">
        <v>83.143740579999985</v>
      </c>
      <c r="K16" s="10">
        <v>372.00231272999997</v>
      </c>
      <c r="L16" s="10">
        <v>420</v>
      </c>
      <c r="M16" s="10">
        <v>420.01628119999998</v>
      </c>
      <c r="N16" s="10">
        <v>362.07121201000001</v>
      </c>
      <c r="O16" s="10">
        <v>390.32119885999998</v>
      </c>
      <c r="P16" s="10">
        <v>79.351494090000017</v>
      </c>
      <c r="Q16" s="10">
        <v>44.042305990000003</v>
      </c>
      <c r="R16" s="10">
        <v>259.94173493</v>
      </c>
      <c r="S16" s="10" t="s">
        <v>69</v>
      </c>
      <c r="T16" s="10">
        <v>188.97335871000001</v>
      </c>
      <c r="U16" s="10">
        <v>109.53283250000001</v>
      </c>
      <c r="V16" s="10">
        <v>2756.9026628000001</v>
      </c>
      <c r="W16" s="10">
        <v>865.05828975999998</v>
      </c>
      <c r="X16" s="10">
        <v>21.781623619999998</v>
      </c>
      <c r="Y16" s="10">
        <v>-7.1737781899999993</v>
      </c>
      <c r="Z16" s="10">
        <v>0.89433801999999996</v>
      </c>
      <c r="AA16" s="10" t="s">
        <v>69</v>
      </c>
      <c r="AB16" s="10">
        <v>114.88431967999998</v>
      </c>
      <c r="AC16" s="10">
        <v>1726.0783451300003</v>
      </c>
      <c r="AD16" s="10">
        <v>2903.8463270699995</v>
      </c>
      <c r="AE16" s="10">
        <v>1071.1936752499998</v>
      </c>
      <c r="AF16" s="10">
        <v>338.69293484999997</v>
      </c>
      <c r="AG16" s="10">
        <v>158.64690142999999</v>
      </c>
      <c r="AH16" s="10" t="s">
        <v>69</v>
      </c>
      <c r="AI16" s="10">
        <v>64.30424081999999</v>
      </c>
    </row>
    <row r="17" spans="1:35" ht="15.75" x14ac:dyDescent="0.25">
      <c r="A17" t="s">
        <v>106</v>
      </c>
      <c r="B17" s="10">
        <v>4256.7</v>
      </c>
      <c r="C17" s="10">
        <v>256</v>
      </c>
      <c r="D17" s="10">
        <v>5105.1000000000004</v>
      </c>
      <c r="E17" s="10">
        <v>3626.3999999999996</v>
      </c>
      <c r="F17" s="10">
        <v>273.29999999999995</v>
      </c>
      <c r="G17" s="10">
        <v>2068.8000000000002</v>
      </c>
      <c r="H17" s="10">
        <v>669.09828886000003</v>
      </c>
      <c r="I17" s="10">
        <v>215.69458602999998</v>
      </c>
      <c r="J17" s="10">
        <v>100.88434217999998</v>
      </c>
      <c r="K17" s="10">
        <v>813.5</v>
      </c>
      <c r="L17" s="10">
        <v>494</v>
      </c>
      <c r="M17" s="10">
        <v>408.02296692000004</v>
      </c>
      <c r="N17" s="10">
        <v>563.59452893999992</v>
      </c>
      <c r="O17" s="10">
        <v>499.83862515999999</v>
      </c>
      <c r="P17" s="10">
        <v>98.39331224999998</v>
      </c>
      <c r="Q17" s="10">
        <v>40.044826809999996</v>
      </c>
      <c r="R17" s="10">
        <v>268.60000000000002</v>
      </c>
      <c r="S17" s="10" t="s">
        <v>69</v>
      </c>
      <c r="T17" s="10">
        <v>167.62460824999999</v>
      </c>
      <c r="U17" s="10">
        <v>106.90589828</v>
      </c>
      <c r="V17" s="10">
        <v>2578</v>
      </c>
      <c r="W17" s="10">
        <v>884.09916754999995</v>
      </c>
      <c r="X17" s="10">
        <v>23.031992880000001</v>
      </c>
      <c r="Y17" s="10">
        <v>-3.1902287600000001</v>
      </c>
      <c r="Z17" s="10">
        <v>1.0017358300000001</v>
      </c>
      <c r="AA17" s="10" t="s">
        <v>69</v>
      </c>
      <c r="AB17" s="10">
        <v>116.46576563000002</v>
      </c>
      <c r="AC17" s="10">
        <v>1565.0871791200004</v>
      </c>
      <c r="AD17" s="10">
        <v>2535.6264215899996</v>
      </c>
      <c r="AE17" s="10">
        <v>965.27208883999992</v>
      </c>
      <c r="AF17" s="10">
        <v>319.88471501000004</v>
      </c>
      <c r="AG17" s="10">
        <v>135.78482292999996</v>
      </c>
      <c r="AH17" s="10" t="s">
        <v>69</v>
      </c>
      <c r="AI17" s="10">
        <v>98.224813359999999</v>
      </c>
    </row>
    <row r="18" spans="1:35" ht="15.75" x14ac:dyDescent="0.25">
      <c r="A18" t="s">
        <v>107</v>
      </c>
      <c r="B18" s="10">
        <v>5081.3</v>
      </c>
      <c r="C18" s="10">
        <v>235.7</v>
      </c>
      <c r="D18" s="10">
        <v>5518.2</v>
      </c>
      <c r="E18" s="10">
        <v>3339.4</v>
      </c>
      <c r="F18" s="10">
        <v>290.7</v>
      </c>
      <c r="G18" s="10">
        <v>2060.4</v>
      </c>
      <c r="H18" s="10">
        <v>651.48182795000002</v>
      </c>
      <c r="I18" s="10">
        <v>211.88040387999999</v>
      </c>
      <c r="J18" s="10">
        <v>96.127964419999984</v>
      </c>
      <c r="K18" s="10">
        <v>606</v>
      </c>
      <c r="L18" s="10">
        <v>370</v>
      </c>
      <c r="M18" s="10">
        <v>466.17715370000002</v>
      </c>
      <c r="N18" s="10">
        <v>348.83083572999999</v>
      </c>
      <c r="O18" s="10">
        <v>332.85891744000003</v>
      </c>
      <c r="P18" s="10">
        <v>67.857850260000006</v>
      </c>
      <c r="Q18" s="10">
        <v>36.680308199999999</v>
      </c>
      <c r="R18" s="10">
        <v>158.79999999999998</v>
      </c>
      <c r="S18" s="10" t="s">
        <v>69</v>
      </c>
      <c r="T18" s="10">
        <v>181.21772941</v>
      </c>
      <c r="U18" s="10">
        <v>122.46583311999881</v>
      </c>
      <c r="V18" s="10">
        <v>2569</v>
      </c>
      <c r="W18" s="10">
        <v>781.04203237000002</v>
      </c>
      <c r="X18" s="10">
        <v>20.975468099999997</v>
      </c>
      <c r="Y18" s="10">
        <v>-3.13596071</v>
      </c>
      <c r="Z18" s="10">
        <v>1.0259523500000001</v>
      </c>
      <c r="AA18" s="10" t="s">
        <v>69</v>
      </c>
      <c r="AB18" s="10">
        <v>113.20039401</v>
      </c>
      <c r="AC18" s="10">
        <v>1899.4545705</v>
      </c>
      <c r="AD18" s="10">
        <v>3037.4058494000001</v>
      </c>
      <c r="AE18" s="10">
        <v>1182.1465727900002</v>
      </c>
      <c r="AF18" s="10">
        <v>374.88494497000005</v>
      </c>
      <c r="AG18" s="10">
        <v>140.98891423999999</v>
      </c>
      <c r="AH18" s="10" t="s">
        <v>69</v>
      </c>
      <c r="AI18" s="10">
        <v>-13.547476559999994</v>
      </c>
    </row>
    <row r="19" spans="1:35" ht="15.75" x14ac:dyDescent="0.25">
      <c r="A19" t="s">
        <v>108</v>
      </c>
      <c r="B19" s="10">
        <v>9001.3213988500011</v>
      </c>
      <c r="C19" s="10">
        <v>269.05556414</v>
      </c>
      <c r="D19" s="10">
        <v>5729.4497841100001</v>
      </c>
      <c r="E19" s="10">
        <v>4173.32076375</v>
      </c>
      <c r="F19" s="10">
        <v>271.6036454</v>
      </c>
      <c r="G19" s="10">
        <v>2330.5297577799997</v>
      </c>
      <c r="H19" s="10">
        <v>684.55251277000002</v>
      </c>
      <c r="I19" s="10">
        <v>219.41951537999995</v>
      </c>
      <c r="J19" s="10">
        <v>98.892594040000006</v>
      </c>
      <c r="K19" s="10">
        <v>725.06645589000004</v>
      </c>
      <c r="L19" s="10">
        <v>470</v>
      </c>
      <c r="M19" s="10">
        <v>386.62948801999994</v>
      </c>
      <c r="N19" s="10">
        <v>489.33499285000005</v>
      </c>
      <c r="O19" s="10">
        <v>401.30452723999997</v>
      </c>
      <c r="P19" s="10">
        <v>81.489495169999998</v>
      </c>
      <c r="Q19" s="10">
        <v>37.451097470000001</v>
      </c>
      <c r="R19" s="10">
        <v>1055.2725335</v>
      </c>
      <c r="S19" s="10" t="s">
        <v>69</v>
      </c>
      <c r="T19" s="10">
        <v>185.58439987</v>
      </c>
      <c r="U19" s="10">
        <v>126.43588769000002</v>
      </c>
      <c r="V19" s="10">
        <v>3558.7821682200001</v>
      </c>
      <c r="W19" s="10">
        <v>908.15880414000003</v>
      </c>
      <c r="X19" s="10">
        <v>23.044888760000003</v>
      </c>
      <c r="Y19" s="10">
        <v>-3.7878434500000004</v>
      </c>
      <c r="Z19" s="10">
        <v>0.89855107999999995</v>
      </c>
      <c r="AA19" s="10" t="s">
        <v>69</v>
      </c>
      <c r="AB19" s="10">
        <v>134.86446674000001</v>
      </c>
      <c r="AC19" s="10">
        <v>1778.8659450999999</v>
      </c>
      <c r="AD19" s="10">
        <v>2823.8628527999999</v>
      </c>
      <c r="AE19" s="10">
        <v>1072.7334910499999</v>
      </c>
      <c r="AF19" s="10">
        <v>374.11714809</v>
      </c>
      <c r="AG19" s="10">
        <v>148.54522362</v>
      </c>
      <c r="AH19" s="10" t="s">
        <v>69</v>
      </c>
      <c r="AI19" s="10">
        <v>44.676044820000001</v>
      </c>
    </row>
    <row r="20" spans="1:35" ht="15.75" x14ac:dyDescent="0.25">
      <c r="A20" t="s">
        <v>109</v>
      </c>
      <c r="B20" s="10">
        <v>6044.7000000000007</v>
      </c>
      <c r="C20" s="10">
        <v>305.3</v>
      </c>
      <c r="D20" s="10">
        <v>6099.6</v>
      </c>
      <c r="E20" s="10">
        <v>4200.8999999999996</v>
      </c>
      <c r="F20" s="10">
        <v>270.5</v>
      </c>
      <c r="G20" s="10">
        <v>2422.8000000000002</v>
      </c>
      <c r="H20" s="10">
        <v>655.41943898</v>
      </c>
      <c r="I20" s="10">
        <v>251.77157312000003</v>
      </c>
      <c r="J20" s="10">
        <v>90.195333749999989</v>
      </c>
      <c r="K20" s="10">
        <v>593.59999999999991</v>
      </c>
      <c r="L20" s="10">
        <v>480</v>
      </c>
      <c r="M20" s="10">
        <v>402.27596123000001</v>
      </c>
      <c r="N20" s="10">
        <v>444.84932616000003</v>
      </c>
      <c r="O20" s="10">
        <v>478.21723050000003</v>
      </c>
      <c r="P20" s="10">
        <v>85.508345639999987</v>
      </c>
      <c r="Q20" s="10">
        <v>44.730576020000001</v>
      </c>
      <c r="R20" s="10">
        <v>291.89999999999998</v>
      </c>
      <c r="S20" s="10" t="s">
        <v>69</v>
      </c>
      <c r="T20" s="10">
        <v>191.66155677999998</v>
      </c>
      <c r="U20" s="10">
        <v>123.01625855</v>
      </c>
      <c r="V20" s="10">
        <v>3343.9</v>
      </c>
      <c r="W20" s="10">
        <v>1007.98314939</v>
      </c>
      <c r="X20" s="10">
        <v>25.02395623</v>
      </c>
      <c r="Y20" s="10">
        <v>-1.6489056799999997</v>
      </c>
      <c r="Z20" s="10">
        <v>0.82666597999999991</v>
      </c>
      <c r="AA20" s="10" t="s">
        <v>69</v>
      </c>
      <c r="AB20" s="10">
        <v>150.10800617000001</v>
      </c>
      <c r="AC20" s="10">
        <v>2153.2809720999999</v>
      </c>
      <c r="AD20" s="10">
        <v>3744.6736409999999</v>
      </c>
      <c r="AE20" s="10">
        <v>1295.4350879099998</v>
      </c>
      <c r="AF20" s="10">
        <v>471.56927177000006</v>
      </c>
      <c r="AG20" s="10">
        <v>149.76869026999998</v>
      </c>
      <c r="AH20" s="10" t="s">
        <v>69</v>
      </c>
      <c r="AI20" s="10">
        <v>35.561191700000009</v>
      </c>
    </row>
    <row r="21" spans="1:35" ht="15.75" x14ac:dyDescent="0.25">
      <c r="A21" t="s">
        <v>110</v>
      </c>
      <c r="B21" s="10">
        <v>6775.0000000000009</v>
      </c>
      <c r="C21" s="10">
        <v>332.9</v>
      </c>
      <c r="D21" s="10">
        <v>6195.4</v>
      </c>
      <c r="E21" s="10">
        <v>4398.8</v>
      </c>
      <c r="F21" s="10">
        <v>269.39999999999998</v>
      </c>
      <c r="G21" s="10">
        <v>2620.5</v>
      </c>
      <c r="H21" s="10">
        <v>708.40752857000007</v>
      </c>
      <c r="I21" s="10">
        <v>282.66412393000002</v>
      </c>
      <c r="J21" s="10">
        <v>106.87011878999999</v>
      </c>
      <c r="K21" s="10">
        <v>877</v>
      </c>
      <c r="L21" s="10">
        <v>565</v>
      </c>
      <c r="M21" s="10">
        <v>513.95383218000006</v>
      </c>
      <c r="N21" s="10">
        <v>628.63391363999995</v>
      </c>
      <c r="O21" s="10">
        <v>622.17089998999995</v>
      </c>
      <c r="P21" s="10">
        <v>106.51349476999999</v>
      </c>
      <c r="Q21" s="10">
        <v>41.910538239999994</v>
      </c>
      <c r="R21" s="10">
        <v>306.7</v>
      </c>
      <c r="S21" s="10" t="s">
        <v>69</v>
      </c>
      <c r="T21" s="10">
        <v>198.45840819</v>
      </c>
      <c r="U21" s="10">
        <v>137.42801183</v>
      </c>
      <c r="V21" s="10">
        <v>2850.8</v>
      </c>
      <c r="W21" s="10">
        <v>1083.1543865800002</v>
      </c>
      <c r="X21" s="10">
        <v>27.180641329999997</v>
      </c>
      <c r="Y21" s="10">
        <v>-0.32164162000000007</v>
      </c>
      <c r="Z21" s="10">
        <v>1.19244444</v>
      </c>
      <c r="AA21" s="10" t="s">
        <v>69</v>
      </c>
      <c r="AB21" s="10">
        <v>156.57661745999997</v>
      </c>
      <c r="AC21" s="10">
        <v>2172.1241289999998</v>
      </c>
      <c r="AD21" s="10">
        <v>3742.5625189999996</v>
      </c>
      <c r="AE21" s="10">
        <v>1241.9938590099996</v>
      </c>
      <c r="AF21" s="10">
        <v>503.66578020999998</v>
      </c>
      <c r="AG21" s="10">
        <v>152.26948515000004</v>
      </c>
      <c r="AH21" s="10" t="s">
        <v>69</v>
      </c>
      <c r="AI21" s="10">
        <v>44.725378329999984</v>
      </c>
    </row>
    <row r="22" spans="1:35" ht="15.75" x14ac:dyDescent="0.25">
      <c r="A22" t="s">
        <v>111</v>
      </c>
      <c r="B22" s="10">
        <v>6381.2999999999993</v>
      </c>
      <c r="C22" s="10">
        <v>314.7</v>
      </c>
      <c r="D22" s="10">
        <v>6763</v>
      </c>
      <c r="E22" s="10">
        <v>4438.2999999999993</v>
      </c>
      <c r="F22" s="10">
        <v>252.3</v>
      </c>
      <c r="G22" s="10">
        <v>2595.4</v>
      </c>
      <c r="H22" s="10">
        <v>702.75462159999995</v>
      </c>
      <c r="I22" s="10">
        <v>304.51784828999996</v>
      </c>
      <c r="J22" s="10">
        <v>113.13374482999998</v>
      </c>
      <c r="K22" s="10">
        <v>699.5</v>
      </c>
      <c r="L22" s="10">
        <v>525</v>
      </c>
      <c r="M22" s="10">
        <v>472.67728245000001</v>
      </c>
      <c r="N22" s="10">
        <v>359.66587864999997</v>
      </c>
      <c r="O22" s="10">
        <v>327.01788651999999</v>
      </c>
      <c r="P22" s="10">
        <v>71.841929329999999</v>
      </c>
      <c r="Q22" s="10">
        <v>36.525226490000001</v>
      </c>
      <c r="R22" s="10">
        <v>180.6</v>
      </c>
      <c r="S22" s="10" t="s">
        <v>69</v>
      </c>
      <c r="T22" s="10">
        <v>199.76452223000004</v>
      </c>
      <c r="U22" s="10">
        <v>128.31855709000001</v>
      </c>
      <c r="V22" s="10">
        <v>2869.4</v>
      </c>
      <c r="W22" s="10">
        <v>1109.7639010300002</v>
      </c>
      <c r="X22" s="10">
        <v>27.00895465</v>
      </c>
      <c r="Y22" s="10">
        <v>-4.9563256699999991</v>
      </c>
      <c r="Z22" s="10">
        <v>1.33913967</v>
      </c>
      <c r="AA22" s="10" t="s">
        <v>69</v>
      </c>
      <c r="AB22" s="10">
        <v>164.20723279000001</v>
      </c>
      <c r="AC22" s="10">
        <v>2564.1117024699997</v>
      </c>
      <c r="AD22" s="10">
        <v>4553.1020588199999</v>
      </c>
      <c r="AE22" s="10">
        <v>1543.4995150999998</v>
      </c>
      <c r="AF22" s="10">
        <v>622.62484863000009</v>
      </c>
      <c r="AG22" s="10">
        <v>154.17724630999999</v>
      </c>
      <c r="AH22" s="10" t="s">
        <v>69</v>
      </c>
      <c r="AI22" s="10">
        <v>192.38961869000002</v>
      </c>
    </row>
    <row r="23" spans="1:35" ht="15.75" x14ac:dyDescent="0.25">
      <c r="A23" t="s">
        <v>112</v>
      </c>
      <c r="B23" s="10">
        <v>9741.5052527500011</v>
      </c>
      <c r="C23" s="10">
        <v>338.19177525999999</v>
      </c>
      <c r="D23" s="10">
        <v>7036.9407196599996</v>
      </c>
      <c r="E23" s="10">
        <v>4865.4831143699994</v>
      </c>
      <c r="F23" s="10">
        <v>266.38251005000001</v>
      </c>
      <c r="G23" s="10">
        <v>2876.4170410500001</v>
      </c>
      <c r="H23" s="10">
        <v>647.49674311000001</v>
      </c>
      <c r="I23" s="10">
        <v>357.88522720000003</v>
      </c>
      <c r="J23" s="10">
        <v>86.345904089999991</v>
      </c>
      <c r="K23" s="10">
        <v>749.05881791000002</v>
      </c>
      <c r="L23" s="10">
        <v>480</v>
      </c>
      <c r="M23" s="10">
        <v>488.75041011999997</v>
      </c>
      <c r="N23" s="10">
        <v>533.96617967999998</v>
      </c>
      <c r="O23" s="10">
        <v>527.32571359000008</v>
      </c>
      <c r="P23" s="10">
        <v>87.627334739999995</v>
      </c>
      <c r="Q23" s="10">
        <v>38.883085919999999</v>
      </c>
      <c r="R23" s="10">
        <v>1195.1694353299999</v>
      </c>
      <c r="S23" s="10" t="s">
        <v>69</v>
      </c>
      <c r="T23" s="10">
        <v>210.08024487</v>
      </c>
      <c r="U23" s="10">
        <v>131.30005690000002</v>
      </c>
      <c r="V23" s="10">
        <v>3448.42274903</v>
      </c>
      <c r="W23" s="10">
        <v>1173.1174282500001</v>
      </c>
      <c r="X23" s="10">
        <v>28.710190600000001</v>
      </c>
      <c r="Y23" s="10">
        <v>0.2090273</v>
      </c>
      <c r="Z23" s="10">
        <v>0.77626536999999995</v>
      </c>
      <c r="AA23" s="10" t="s">
        <v>69</v>
      </c>
      <c r="AB23" s="10">
        <v>166.64812889000001</v>
      </c>
      <c r="AC23" s="10">
        <v>2449.1887655099999</v>
      </c>
      <c r="AD23" s="10">
        <v>4373.2904137899995</v>
      </c>
      <c r="AE23" s="10">
        <v>1409.5594576099998</v>
      </c>
      <c r="AF23" s="10">
        <v>606.74637372999996</v>
      </c>
      <c r="AG23" s="10">
        <v>161.25345552999997</v>
      </c>
      <c r="AH23" s="10" t="s">
        <v>69</v>
      </c>
      <c r="AI23" s="10">
        <v>120.93826347000007</v>
      </c>
    </row>
    <row r="24" spans="1:35" ht="15.75" x14ac:dyDescent="0.25">
      <c r="A24" t="s">
        <v>113</v>
      </c>
      <c r="B24" s="10">
        <v>7647.6982189399987</v>
      </c>
      <c r="C24" s="10">
        <v>400.27441090000002</v>
      </c>
      <c r="D24" s="10">
        <v>7527.6377106999998</v>
      </c>
      <c r="E24" s="10">
        <v>5431.94259263</v>
      </c>
      <c r="F24" s="10">
        <v>274.59990922999998</v>
      </c>
      <c r="G24" s="10">
        <v>2929.3389942999997</v>
      </c>
      <c r="H24" s="10">
        <v>646.55289286999994</v>
      </c>
      <c r="I24" s="10">
        <v>348.63629772000002</v>
      </c>
      <c r="J24" s="10">
        <v>95.533959259999989</v>
      </c>
      <c r="K24" s="10">
        <v>819.14815992000001</v>
      </c>
      <c r="L24" s="10">
        <v>480</v>
      </c>
      <c r="M24" s="10">
        <v>547.06692436000003</v>
      </c>
      <c r="N24" s="10">
        <v>500.93904829000002</v>
      </c>
      <c r="O24" s="10">
        <v>497.57633622000003</v>
      </c>
      <c r="P24" s="10">
        <v>93.848897139999991</v>
      </c>
      <c r="Q24" s="10">
        <v>44.720785850000006</v>
      </c>
      <c r="R24" s="10">
        <v>349.80075986000003</v>
      </c>
      <c r="S24" s="10" t="s">
        <v>69</v>
      </c>
      <c r="T24" s="10">
        <v>221.80488787999997</v>
      </c>
      <c r="U24" s="10">
        <v>147.04650784</v>
      </c>
      <c r="V24" s="10">
        <v>4234.3477573399996</v>
      </c>
      <c r="W24" s="10">
        <v>1326.9941908399999</v>
      </c>
      <c r="X24" s="10">
        <v>31.467214480000003</v>
      </c>
      <c r="Y24" s="10">
        <v>-1.3602997800000001</v>
      </c>
      <c r="Z24" s="10">
        <v>0.9500352299999999</v>
      </c>
      <c r="AA24" s="10" t="s">
        <v>69</v>
      </c>
      <c r="AB24" s="10">
        <v>211.26774320999996</v>
      </c>
      <c r="AC24" s="10">
        <v>2940.1911294800002</v>
      </c>
      <c r="AD24" s="10">
        <v>5310.8914302100002</v>
      </c>
      <c r="AE24" s="10">
        <v>1726.5569588199996</v>
      </c>
      <c r="AF24" s="10">
        <v>728.82439318000002</v>
      </c>
      <c r="AG24" s="10">
        <v>169.62747363999998</v>
      </c>
      <c r="AH24" s="10" t="s">
        <v>69</v>
      </c>
      <c r="AI24" s="10">
        <v>43.55173197000007</v>
      </c>
    </row>
    <row r="25" spans="1:35" ht="15.75" x14ac:dyDescent="0.25">
      <c r="A25" t="s">
        <v>114</v>
      </c>
      <c r="B25" s="10">
        <v>8356.3675275400001</v>
      </c>
      <c r="C25" s="10">
        <v>435.03371128000003</v>
      </c>
      <c r="D25" s="10">
        <v>8747.45347253</v>
      </c>
      <c r="E25" s="10">
        <v>5556.6063748500001</v>
      </c>
      <c r="F25" s="10">
        <v>290.72573382000002</v>
      </c>
      <c r="G25" s="10">
        <v>3284.5843586199999</v>
      </c>
      <c r="H25" s="10">
        <v>720.53159003000007</v>
      </c>
      <c r="I25" s="10">
        <v>371.99914243000001</v>
      </c>
      <c r="J25" s="10">
        <v>103.22991791000001</v>
      </c>
      <c r="K25" s="10">
        <v>995.50010625999994</v>
      </c>
      <c r="L25" s="10">
        <v>480</v>
      </c>
      <c r="M25" s="10">
        <v>543.29853212</v>
      </c>
      <c r="N25" s="10">
        <v>612.47627102000001</v>
      </c>
      <c r="O25" s="10">
        <v>628.54651252999997</v>
      </c>
      <c r="P25" s="10">
        <v>114.69330030999998</v>
      </c>
      <c r="Q25" s="10">
        <v>45.178292499999998</v>
      </c>
      <c r="R25" s="10">
        <v>351.18147822999998</v>
      </c>
      <c r="S25" s="10" t="s">
        <v>69</v>
      </c>
      <c r="T25" s="10">
        <v>237.09606354000002</v>
      </c>
      <c r="U25" s="10">
        <v>173.99544465999998</v>
      </c>
      <c r="V25" s="10">
        <v>4159.5082804399999</v>
      </c>
      <c r="W25" s="10">
        <v>1408.68978242</v>
      </c>
      <c r="X25" s="10">
        <v>33.245071340000003</v>
      </c>
      <c r="Y25" s="10">
        <v>-3.6968677699999999</v>
      </c>
      <c r="Z25" s="10">
        <v>1.4636054499999998</v>
      </c>
      <c r="AA25" s="10" t="s">
        <v>69</v>
      </c>
      <c r="AB25" s="10">
        <v>279.60008070999999</v>
      </c>
      <c r="AC25" s="10">
        <v>2777.3210751099996</v>
      </c>
      <c r="AD25" s="10">
        <v>5408.7891788199995</v>
      </c>
      <c r="AE25" s="10">
        <v>1634.5250869100003</v>
      </c>
      <c r="AF25" s="10">
        <v>688.92079614999989</v>
      </c>
      <c r="AG25" s="10">
        <v>176.44306456999999</v>
      </c>
      <c r="AH25" s="10" t="s">
        <v>69</v>
      </c>
      <c r="AI25" s="10">
        <v>172.22039036999993</v>
      </c>
    </row>
    <row r="26" spans="1:35" ht="15.75" x14ac:dyDescent="0.25">
      <c r="A26" t="s">
        <v>115</v>
      </c>
      <c r="B26" s="10">
        <v>7792.9579904499988</v>
      </c>
      <c r="C26" s="10">
        <v>433.64788612000001</v>
      </c>
      <c r="D26" s="10">
        <v>9027.2666099599992</v>
      </c>
      <c r="E26" s="10">
        <v>5569.5625015900005</v>
      </c>
      <c r="F26" s="10">
        <v>277.63579565000003</v>
      </c>
      <c r="G26" s="10">
        <v>3214.5152577399999</v>
      </c>
      <c r="H26" s="10">
        <v>726.79503150999994</v>
      </c>
      <c r="I26" s="10">
        <v>407.32500131999996</v>
      </c>
      <c r="J26" s="10">
        <v>111.73870582000001</v>
      </c>
      <c r="K26" s="10">
        <v>1199.80435773</v>
      </c>
      <c r="L26" s="10">
        <v>520</v>
      </c>
      <c r="M26" s="10">
        <v>598.75280419000001</v>
      </c>
      <c r="N26" s="10">
        <v>393.56242353000005</v>
      </c>
      <c r="O26" s="10">
        <v>363.45003328000007</v>
      </c>
      <c r="P26" s="10">
        <v>78.735431819999974</v>
      </c>
      <c r="Q26" s="10">
        <v>38.757870689999997</v>
      </c>
      <c r="R26" s="10">
        <v>227.83617767999999</v>
      </c>
      <c r="S26" s="10" t="s">
        <v>69</v>
      </c>
      <c r="T26" s="10">
        <v>245.61569309999999</v>
      </c>
      <c r="U26" s="10">
        <v>195.08831612999998</v>
      </c>
      <c r="V26" s="10">
        <v>3767.9334887699997</v>
      </c>
      <c r="W26" s="10">
        <v>1451.6147870699999</v>
      </c>
      <c r="X26" s="10">
        <v>33.814110049999996</v>
      </c>
      <c r="Y26" s="10">
        <v>2.58185705</v>
      </c>
      <c r="Z26" s="10">
        <v>1.3541518699999999</v>
      </c>
      <c r="AA26" s="10" t="s">
        <v>69</v>
      </c>
      <c r="AB26" s="10">
        <v>268.75612769999998</v>
      </c>
      <c r="AC26" s="10">
        <v>3386.6258019399997</v>
      </c>
      <c r="AD26" s="10">
        <v>6998.31962217</v>
      </c>
      <c r="AE26" s="10">
        <v>2002.4967336699997</v>
      </c>
      <c r="AF26" s="10">
        <v>841.52386984999998</v>
      </c>
      <c r="AG26" s="10">
        <v>179.70921215000001</v>
      </c>
      <c r="AH26" s="10" t="s">
        <v>69</v>
      </c>
      <c r="AI26" s="10">
        <v>9.7498561999999822</v>
      </c>
    </row>
    <row r="27" spans="1:35" ht="15.75" x14ac:dyDescent="0.25">
      <c r="A27" t="s">
        <v>116</v>
      </c>
      <c r="B27" s="10">
        <v>12452.484779500002</v>
      </c>
      <c r="C27" s="10">
        <v>454.42182101000003</v>
      </c>
      <c r="D27" s="10">
        <v>9322.0359396399999</v>
      </c>
      <c r="E27" s="10">
        <v>6004.7788877200001</v>
      </c>
      <c r="F27" s="10">
        <v>343.29116089999997</v>
      </c>
      <c r="G27" s="10">
        <v>3654.2909216799999</v>
      </c>
      <c r="H27" s="10">
        <v>738.50970561000008</v>
      </c>
      <c r="I27" s="10">
        <v>378.04620672999999</v>
      </c>
      <c r="J27" s="10">
        <v>106.94641229999999</v>
      </c>
      <c r="K27" s="10">
        <v>849.96641024999997</v>
      </c>
      <c r="L27" s="10">
        <v>360</v>
      </c>
      <c r="M27" s="10">
        <v>533.72156348999999</v>
      </c>
      <c r="N27" s="10">
        <v>519.16644154999994</v>
      </c>
      <c r="O27" s="10">
        <v>565.77886259000002</v>
      </c>
      <c r="P27" s="10">
        <v>94.357974399999989</v>
      </c>
      <c r="Q27" s="10">
        <v>41.61115822</v>
      </c>
      <c r="R27" s="10">
        <v>1425.31453306</v>
      </c>
      <c r="S27" s="10" t="s">
        <v>69</v>
      </c>
      <c r="T27" s="10">
        <v>256.81747137999997</v>
      </c>
      <c r="U27" s="10">
        <v>209.95457359</v>
      </c>
      <c r="V27" s="10">
        <v>4767.3599724899996</v>
      </c>
      <c r="W27" s="10">
        <v>1508.65135644</v>
      </c>
      <c r="X27" s="10">
        <v>34.873522949999995</v>
      </c>
      <c r="Y27" s="10">
        <v>0.19499478000000003</v>
      </c>
      <c r="Z27" s="10">
        <v>1.1630256499999998</v>
      </c>
      <c r="AA27" s="10" t="s">
        <v>69</v>
      </c>
      <c r="AB27" s="10">
        <v>297.7014671</v>
      </c>
      <c r="AC27" s="10">
        <v>3205.4976873300002</v>
      </c>
      <c r="AD27" s="10">
        <v>6692.2728284900004</v>
      </c>
      <c r="AE27" s="10">
        <v>1875.7393189899999</v>
      </c>
      <c r="AF27" s="10">
        <v>795.86781240000005</v>
      </c>
      <c r="AG27" s="10">
        <v>181.92710422999997</v>
      </c>
      <c r="AH27" s="10" t="s">
        <v>69</v>
      </c>
      <c r="AI27" s="10">
        <v>99.716809150000032</v>
      </c>
    </row>
    <row r="28" spans="1:35" ht="15.75" x14ac:dyDescent="0.25">
      <c r="A28" t="s">
        <v>117</v>
      </c>
      <c r="B28" s="10">
        <v>10101.619623709999</v>
      </c>
      <c r="C28" s="10">
        <v>659.32456982999997</v>
      </c>
      <c r="D28" s="10">
        <v>9882.0158872399988</v>
      </c>
      <c r="E28" s="10">
        <v>7691.9912389900001</v>
      </c>
      <c r="F28" s="10">
        <v>325.31924169000001</v>
      </c>
      <c r="G28" s="10">
        <v>3966.5615455699999</v>
      </c>
      <c r="H28" s="10">
        <v>738.61023023000007</v>
      </c>
      <c r="I28" s="10">
        <v>422.29757847000008</v>
      </c>
      <c r="J28" s="10">
        <v>108.84348592000001</v>
      </c>
      <c r="K28" s="10">
        <v>839.97647608</v>
      </c>
      <c r="L28" s="10">
        <v>367.5</v>
      </c>
      <c r="M28" s="10">
        <v>671.7627987599999</v>
      </c>
      <c r="N28" s="10">
        <v>629.72236247000001</v>
      </c>
      <c r="O28" s="10">
        <v>604.57386646999998</v>
      </c>
      <c r="P28" s="10">
        <v>99.513046540000005</v>
      </c>
      <c r="Q28" s="10">
        <v>42.665562100000002</v>
      </c>
      <c r="R28" s="10">
        <v>409.74862293000001</v>
      </c>
      <c r="S28" s="10" t="s">
        <v>69</v>
      </c>
      <c r="T28" s="10">
        <v>271.77389267000001</v>
      </c>
      <c r="U28" s="10">
        <v>234.60478503999997</v>
      </c>
      <c r="V28" s="10">
        <v>4969.6588550400002</v>
      </c>
      <c r="W28" s="10">
        <v>1827.1984944900003</v>
      </c>
      <c r="X28" s="10">
        <v>41.16566010999999</v>
      </c>
      <c r="Y28" s="10">
        <v>0.20243307999999993</v>
      </c>
      <c r="Z28" s="10">
        <v>3.4178495000000004</v>
      </c>
      <c r="AA28" s="10" t="s">
        <v>69</v>
      </c>
      <c r="AB28" s="10">
        <v>365.74025730999995</v>
      </c>
      <c r="AC28" s="10">
        <v>3842.9316633599992</v>
      </c>
      <c r="AD28" s="10">
        <v>8007.6122444000002</v>
      </c>
      <c r="AE28" s="10">
        <v>2302.5048632199996</v>
      </c>
      <c r="AF28" s="10">
        <v>962.97796006999988</v>
      </c>
      <c r="AG28" s="10">
        <v>190.65179900000001</v>
      </c>
      <c r="AH28" s="10" t="s">
        <v>69</v>
      </c>
      <c r="AI28" s="10">
        <v>8.7499355600000577</v>
      </c>
    </row>
    <row r="29" spans="1:35" ht="15.75" x14ac:dyDescent="0.25">
      <c r="A29" t="s">
        <v>118</v>
      </c>
      <c r="B29" s="10">
        <v>10240.985130969999</v>
      </c>
      <c r="C29" s="10">
        <v>719.44842036</v>
      </c>
      <c r="D29" s="10">
        <v>11028.88118583</v>
      </c>
      <c r="E29" s="10">
        <v>8132.4497483199993</v>
      </c>
      <c r="F29" s="10">
        <v>352.71468255000002</v>
      </c>
      <c r="G29" s="10">
        <v>4229.5728092900008</v>
      </c>
      <c r="H29" s="10">
        <v>817.41030291999982</v>
      </c>
      <c r="I29" s="10">
        <v>509.76240390999999</v>
      </c>
      <c r="J29" s="10">
        <v>119.54661593</v>
      </c>
      <c r="K29" s="10">
        <v>1099.98424458</v>
      </c>
      <c r="L29" s="10">
        <v>665</v>
      </c>
      <c r="M29" s="10">
        <v>733.52607187000001</v>
      </c>
      <c r="N29" s="10">
        <v>628.9384865699999</v>
      </c>
      <c r="O29" s="10">
        <v>666.67219396000007</v>
      </c>
      <c r="P29" s="10">
        <v>115.08078828000001</v>
      </c>
      <c r="Q29" s="10">
        <v>45.32622989</v>
      </c>
      <c r="R29" s="10">
        <v>428.98284735000004</v>
      </c>
      <c r="S29" s="10" t="s">
        <v>69</v>
      </c>
      <c r="T29" s="10">
        <v>289.12059173</v>
      </c>
      <c r="U29" s="10">
        <v>237.80688170999997</v>
      </c>
      <c r="V29" s="10">
        <v>6944.7892522500006</v>
      </c>
      <c r="W29" s="10">
        <v>2071.7448244100001</v>
      </c>
      <c r="X29" s="10">
        <v>46.228782659999993</v>
      </c>
      <c r="Y29" s="10">
        <v>0.1640721</v>
      </c>
      <c r="Z29" s="10">
        <v>2.8205337000000004</v>
      </c>
      <c r="AA29" s="10" t="s">
        <v>69</v>
      </c>
      <c r="AB29" s="10">
        <v>387.03969069999999</v>
      </c>
      <c r="AC29" s="10">
        <v>3887.5779734399994</v>
      </c>
      <c r="AD29" s="10">
        <v>7551.7066536700004</v>
      </c>
      <c r="AE29" s="10">
        <v>2085.50658664</v>
      </c>
      <c r="AF29" s="10">
        <v>898.10451476999992</v>
      </c>
      <c r="AG29" s="10">
        <v>197.94081693999996</v>
      </c>
      <c r="AH29" s="10" t="s">
        <v>69</v>
      </c>
      <c r="AI29" s="10">
        <v>-80.700912620000054</v>
      </c>
    </row>
    <row r="30" spans="1:35" ht="15.75" x14ac:dyDescent="0.25">
      <c r="A30" t="s">
        <v>119</v>
      </c>
      <c r="B30" s="10">
        <v>10146.273159279999</v>
      </c>
      <c r="C30" s="10">
        <v>646.58192357999997</v>
      </c>
      <c r="D30" s="10">
        <v>11871.494311030001</v>
      </c>
      <c r="E30" s="10">
        <v>7803.8581939300002</v>
      </c>
      <c r="F30" s="10">
        <v>296.84121264999999</v>
      </c>
      <c r="G30" s="10">
        <v>4359.0030228300002</v>
      </c>
      <c r="H30" s="10">
        <v>887.31907816</v>
      </c>
      <c r="I30" s="10">
        <v>471.24715416000004</v>
      </c>
      <c r="J30" s="10">
        <v>131.31558253999998</v>
      </c>
      <c r="K30" s="10">
        <v>1275.1052435399999</v>
      </c>
      <c r="L30" s="10">
        <v>875</v>
      </c>
      <c r="M30" s="10">
        <v>946.03017159000001</v>
      </c>
      <c r="N30" s="10">
        <v>567.77667602999998</v>
      </c>
      <c r="O30" s="10">
        <v>604.55958297999996</v>
      </c>
      <c r="P30" s="10">
        <v>95.241448579999968</v>
      </c>
      <c r="Q30" s="10">
        <v>43.194477520000007</v>
      </c>
      <c r="R30" s="10">
        <v>259.06788983000001</v>
      </c>
      <c r="S30" s="10" t="s">
        <v>69</v>
      </c>
      <c r="T30" s="10">
        <v>302.13389728999994</v>
      </c>
      <c r="U30" s="10">
        <v>226.74145733999995</v>
      </c>
      <c r="V30" s="10">
        <v>7940.4696902199994</v>
      </c>
      <c r="W30" s="10">
        <v>2028.6607577499999</v>
      </c>
      <c r="X30" s="10">
        <v>43.032807500000004</v>
      </c>
      <c r="Y30" s="10">
        <v>4.563478E-2</v>
      </c>
      <c r="Z30" s="10">
        <v>3.4436110699999998</v>
      </c>
      <c r="AA30" s="10" t="s">
        <v>69</v>
      </c>
      <c r="AB30" s="10">
        <v>368.94737247000006</v>
      </c>
      <c r="AC30" s="10">
        <v>5028.8036651600005</v>
      </c>
      <c r="AD30" s="10">
        <v>9073.9780896199991</v>
      </c>
      <c r="AE30" s="10">
        <v>2602.1129067600004</v>
      </c>
      <c r="AF30" s="10">
        <v>1085.6952307699999</v>
      </c>
      <c r="AG30" s="10">
        <v>206.52197060000003</v>
      </c>
      <c r="AH30" s="10" t="s">
        <v>69</v>
      </c>
      <c r="AI30" s="10">
        <v>178.95711709999995</v>
      </c>
    </row>
    <row r="31" spans="1:35" ht="15.75" x14ac:dyDescent="0.25">
      <c r="A31" t="s">
        <v>120</v>
      </c>
      <c r="B31" s="10">
        <v>14227.18448505</v>
      </c>
      <c r="C31" s="10">
        <v>744.43681538999999</v>
      </c>
      <c r="D31" s="10">
        <v>12258.72283556</v>
      </c>
      <c r="E31" s="10">
        <v>9338.4273191899993</v>
      </c>
      <c r="F31" s="10">
        <v>339.94580416000002</v>
      </c>
      <c r="G31" s="10">
        <v>4818.6891681799998</v>
      </c>
      <c r="H31" s="10">
        <v>873.26301360000002</v>
      </c>
      <c r="I31" s="10">
        <v>499.38274565999996</v>
      </c>
      <c r="J31" s="10">
        <v>128.38122059</v>
      </c>
      <c r="K31" s="10">
        <v>1675</v>
      </c>
      <c r="L31" s="10">
        <v>490</v>
      </c>
      <c r="M31" s="10">
        <v>785.62377449999997</v>
      </c>
      <c r="N31" s="10">
        <v>685.15902686000004</v>
      </c>
      <c r="O31" s="10">
        <v>738.34124238000004</v>
      </c>
      <c r="P31" s="10">
        <v>105.97344073000001</v>
      </c>
      <c r="Q31" s="10">
        <v>45.362283819999995</v>
      </c>
      <c r="R31" s="10">
        <v>1771.49720931</v>
      </c>
      <c r="S31" s="10" t="s">
        <v>69</v>
      </c>
      <c r="T31" s="10">
        <v>334.12027715999994</v>
      </c>
      <c r="U31" s="10">
        <v>261.29990959999998</v>
      </c>
      <c r="V31" s="10">
        <v>8514.7677291300006</v>
      </c>
      <c r="W31" s="10">
        <v>2191.2814933699997</v>
      </c>
      <c r="X31" s="10">
        <v>46.174474329999995</v>
      </c>
      <c r="Y31" s="10">
        <v>3.2375300000000003E-2</v>
      </c>
      <c r="Z31" s="10">
        <v>1.2592039899999998</v>
      </c>
      <c r="AA31" s="10" t="s">
        <v>69</v>
      </c>
      <c r="AB31" s="10">
        <v>420.64732055000002</v>
      </c>
      <c r="AC31" s="10">
        <v>5441.113566840002</v>
      </c>
      <c r="AD31" s="10">
        <v>9057.5525352600016</v>
      </c>
      <c r="AE31" s="10">
        <v>2456.5158626300004</v>
      </c>
      <c r="AF31" s="10">
        <v>1069.30698106</v>
      </c>
      <c r="AG31" s="10">
        <v>258.81442019999997</v>
      </c>
      <c r="AH31" s="10" t="s">
        <v>69</v>
      </c>
      <c r="AI31" s="10">
        <v>-9.3394487200004761</v>
      </c>
    </row>
    <row r="32" spans="1:35" ht="15.75" x14ac:dyDescent="0.25">
      <c r="A32" t="s">
        <v>121</v>
      </c>
      <c r="B32" s="10">
        <v>13264.13422308</v>
      </c>
      <c r="C32" s="10">
        <v>934.58330286</v>
      </c>
      <c r="D32" s="10">
        <v>12692.13169106</v>
      </c>
      <c r="E32" s="10">
        <v>10029.026599889999</v>
      </c>
      <c r="F32" s="10">
        <v>176.59721038999999</v>
      </c>
      <c r="G32" s="10">
        <v>5162.4239535300003</v>
      </c>
      <c r="H32" s="10">
        <v>875.08116044999997</v>
      </c>
      <c r="I32" s="10">
        <v>485.70585346000007</v>
      </c>
      <c r="J32" s="10">
        <v>145.27571666</v>
      </c>
      <c r="K32" s="10">
        <v>1471</v>
      </c>
      <c r="L32" s="10">
        <v>829</v>
      </c>
      <c r="M32" s="10">
        <v>848.91427945999999</v>
      </c>
      <c r="N32" s="10">
        <v>582.08238877000008</v>
      </c>
      <c r="O32" s="10">
        <v>737.95186194999997</v>
      </c>
      <c r="P32" s="10">
        <v>113.41169417000002</v>
      </c>
      <c r="Q32" s="10">
        <v>46.930390349999996</v>
      </c>
      <c r="R32" s="10">
        <v>701.3621962200001</v>
      </c>
      <c r="S32" s="10" t="s">
        <v>69</v>
      </c>
      <c r="T32" s="10">
        <v>351.67018372999996</v>
      </c>
      <c r="U32" s="10">
        <v>264.99390755000002</v>
      </c>
      <c r="V32" s="10">
        <v>11405.67279604</v>
      </c>
      <c r="W32" s="10">
        <v>2308.3080372399995</v>
      </c>
      <c r="X32" s="10">
        <v>47.314488060000002</v>
      </c>
      <c r="Y32" s="10">
        <v>-0.47625529999999999</v>
      </c>
      <c r="Z32" s="10">
        <v>1.4589453800000001</v>
      </c>
      <c r="AA32" s="10" t="s">
        <v>69</v>
      </c>
      <c r="AB32" s="10">
        <v>464.41535195999995</v>
      </c>
      <c r="AC32" s="10">
        <v>6531.6757606699994</v>
      </c>
      <c r="AD32" s="10">
        <v>10646.30816588</v>
      </c>
      <c r="AE32" s="10">
        <v>3084.99764555</v>
      </c>
      <c r="AF32" s="10">
        <v>1302.9458413499999</v>
      </c>
      <c r="AG32" s="10">
        <v>273.52650681999995</v>
      </c>
      <c r="AH32" s="10" t="s">
        <v>69</v>
      </c>
      <c r="AI32" s="10">
        <v>58.923675749999077</v>
      </c>
    </row>
    <row r="33" spans="1:35" ht="15.75" x14ac:dyDescent="0.25">
      <c r="A33" t="s">
        <v>122</v>
      </c>
      <c r="B33" s="10">
        <v>12819.295649969999</v>
      </c>
      <c r="C33" s="10">
        <v>863.5407789300001</v>
      </c>
      <c r="D33" s="10">
        <v>13570.57582885</v>
      </c>
      <c r="E33" s="10">
        <v>8550.6868778800017</v>
      </c>
      <c r="F33" s="10">
        <v>174.37521731999999</v>
      </c>
      <c r="G33" s="10">
        <v>5155.0355055799992</v>
      </c>
      <c r="H33" s="10">
        <v>1005.60368184</v>
      </c>
      <c r="I33" s="10">
        <v>532.94894944000009</v>
      </c>
      <c r="J33" s="10">
        <v>150.12565608999998</v>
      </c>
      <c r="K33" s="10">
        <v>1465</v>
      </c>
      <c r="L33" s="10">
        <v>700</v>
      </c>
      <c r="M33" s="10">
        <v>1029.13400686</v>
      </c>
      <c r="N33" s="10">
        <v>676.86651673000006</v>
      </c>
      <c r="O33" s="10">
        <v>845.97643921000008</v>
      </c>
      <c r="P33" s="10">
        <v>149.67137078000002</v>
      </c>
      <c r="Q33" s="10">
        <v>45.649211980000004</v>
      </c>
      <c r="R33" s="10">
        <v>643.04409204000012</v>
      </c>
      <c r="S33" s="10" t="s">
        <v>69</v>
      </c>
      <c r="T33" s="10">
        <v>366.78476404999998</v>
      </c>
      <c r="U33" s="10">
        <v>250.1190641</v>
      </c>
      <c r="V33" s="10">
        <v>8194.3379651600007</v>
      </c>
      <c r="W33" s="10">
        <v>2275.0207254200004</v>
      </c>
      <c r="X33" s="10">
        <v>48.114750480000005</v>
      </c>
      <c r="Y33" s="10">
        <v>-1.12583481</v>
      </c>
      <c r="Z33" s="10">
        <v>1.68140384</v>
      </c>
      <c r="AA33" s="10" t="s">
        <v>69</v>
      </c>
      <c r="AB33" s="10">
        <v>439.91251075000002</v>
      </c>
      <c r="AC33" s="10">
        <v>6240.9895246600008</v>
      </c>
      <c r="AD33" s="10">
        <v>10225.313668139999</v>
      </c>
      <c r="AE33" s="10">
        <v>2923.0502936700004</v>
      </c>
      <c r="AF33" s="10">
        <v>1220.6491523499999</v>
      </c>
      <c r="AG33" s="10">
        <v>275.55358634999999</v>
      </c>
      <c r="AH33" s="10" t="s">
        <v>69</v>
      </c>
      <c r="AI33" s="10">
        <v>7.8351512700000301</v>
      </c>
    </row>
    <row r="34" spans="1:35" ht="15.75" x14ac:dyDescent="0.25">
      <c r="A34" t="s">
        <v>123</v>
      </c>
      <c r="B34" s="10">
        <v>10563.46307276</v>
      </c>
      <c r="C34" s="10">
        <v>515.80357260000005</v>
      </c>
      <c r="D34" s="10">
        <v>14785.172464609999</v>
      </c>
      <c r="E34" s="10">
        <v>6144.2137398100003</v>
      </c>
      <c r="F34" s="10">
        <v>390.55033606000006</v>
      </c>
      <c r="G34" s="10">
        <v>4645.48344026</v>
      </c>
      <c r="H34" s="10">
        <v>1048.03321426</v>
      </c>
      <c r="I34" s="10">
        <v>570.77527148999991</v>
      </c>
      <c r="J34" s="10">
        <v>156.56687503999999</v>
      </c>
      <c r="K34" s="10">
        <v>785</v>
      </c>
      <c r="L34" s="10">
        <v>100</v>
      </c>
      <c r="M34" s="10">
        <v>1031.90879075</v>
      </c>
      <c r="N34" s="10">
        <v>569.03832568999997</v>
      </c>
      <c r="O34" s="10">
        <v>628.58233074999998</v>
      </c>
      <c r="P34" s="10">
        <v>103.41815010000001</v>
      </c>
      <c r="Q34" s="10">
        <v>43.924373989999999</v>
      </c>
      <c r="R34" s="10">
        <v>389.55071840000005</v>
      </c>
      <c r="S34" s="10" t="s">
        <v>69</v>
      </c>
      <c r="T34" s="10">
        <v>360.48419462000004</v>
      </c>
      <c r="U34" s="10">
        <v>230.3547198</v>
      </c>
      <c r="V34" s="10">
        <v>6890.8267822400003</v>
      </c>
      <c r="W34" s="10">
        <v>1656.3335587299998</v>
      </c>
      <c r="X34" s="10">
        <v>36.599017060000008</v>
      </c>
      <c r="Y34" s="10">
        <v>1.6672869999999999E-2</v>
      </c>
      <c r="Z34" s="10">
        <v>1.3912005600000001</v>
      </c>
      <c r="AA34" s="10">
        <v>281.15879939999996</v>
      </c>
      <c r="AB34" s="10">
        <v>29.003954490000066</v>
      </c>
      <c r="AC34" s="10">
        <v>7059.4229258899995</v>
      </c>
      <c r="AD34" s="10">
        <v>11634.549720619998</v>
      </c>
      <c r="AE34" s="10">
        <v>3745.0553971199993</v>
      </c>
      <c r="AF34" s="10">
        <v>1427.6875800099999</v>
      </c>
      <c r="AG34" s="10">
        <v>295.71165761000003</v>
      </c>
      <c r="AH34" s="10" t="s">
        <v>69</v>
      </c>
      <c r="AI34" s="10">
        <v>204.15552080999973</v>
      </c>
    </row>
    <row r="35" spans="1:35" ht="15.75" x14ac:dyDescent="0.25">
      <c r="A35" t="s">
        <v>124</v>
      </c>
      <c r="B35" s="10">
        <v>15355.642825049999</v>
      </c>
      <c r="C35" s="10">
        <v>550.77004531000011</v>
      </c>
      <c r="D35" s="10">
        <v>14930.742669200001</v>
      </c>
      <c r="E35" s="10">
        <v>6958.5116038999995</v>
      </c>
      <c r="F35" s="10">
        <v>375.20515282000008</v>
      </c>
      <c r="G35" s="10">
        <v>5093.3184624400001</v>
      </c>
      <c r="H35" s="10">
        <v>1028.80852867</v>
      </c>
      <c r="I35" s="10">
        <v>502.79674117000002</v>
      </c>
      <c r="J35" s="10">
        <v>158.49334149000001</v>
      </c>
      <c r="K35" s="10">
        <v>973</v>
      </c>
      <c r="L35" s="10">
        <v>327</v>
      </c>
      <c r="M35" s="10">
        <v>1011.3644751400001</v>
      </c>
      <c r="N35" s="10">
        <v>633.00594076000004</v>
      </c>
      <c r="O35" s="10">
        <v>845.42381991000025</v>
      </c>
      <c r="P35" s="10">
        <v>126.96029578</v>
      </c>
      <c r="Q35" s="10">
        <v>44.586220049999994</v>
      </c>
      <c r="R35" s="10">
        <v>1872.9832809900001</v>
      </c>
      <c r="S35" s="10" t="s">
        <v>69</v>
      </c>
      <c r="T35" s="10">
        <v>382.20058764999999</v>
      </c>
      <c r="U35" s="10">
        <v>254.08122090000001</v>
      </c>
      <c r="V35" s="10">
        <v>9051.6786450000018</v>
      </c>
      <c r="W35" s="10">
        <v>1742.3031568599999</v>
      </c>
      <c r="X35" s="10">
        <v>39.130279530000003</v>
      </c>
      <c r="Y35" s="10">
        <v>1.0293879999999998E-2</v>
      </c>
      <c r="Z35" s="10">
        <v>1.2549563899999998</v>
      </c>
      <c r="AA35" s="10">
        <v>300.90124061</v>
      </c>
      <c r="AB35" s="10">
        <v>29.847634020000001</v>
      </c>
      <c r="AC35" s="10">
        <v>6378.4859601000007</v>
      </c>
      <c r="AD35" s="10">
        <v>10961.639778320001</v>
      </c>
      <c r="AE35" s="10">
        <v>3470.2108671699998</v>
      </c>
      <c r="AF35" s="10">
        <v>1300.82688874</v>
      </c>
      <c r="AG35" s="10">
        <v>317.61419586</v>
      </c>
      <c r="AH35" s="10" t="s">
        <v>69</v>
      </c>
      <c r="AI35" s="10">
        <v>353.18496522999988</v>
      </c>
    </row>
    <row r="36" spans="1:35" ht="15.75" x14ac:dyDescent="0.25">
      <c r="A36" t="s">
        <v>125</v>
      </c>
      <c r="B36" s="10">
        <v>12701.68167043</v>
      </c>
      <c r="C36" s="10">
        <v>653.85868243000004</v>
      </c>
      <c r="D36" s="10">
        <v>15784.50736843</v>
      </c>
      <c r="E36" s="10">
        <v>8354.9710991399988</v>
      </c>
      <c r="F36" s="10">
        <v>208.37747467</v>
      </c>
      <c r="G36" s="10">
        <v>5273.82663813</v>
      </c>
      <c r="H36" s="10">
        <v>1069.2043363</v>
      </c>
      <c r="I36" s="10">
        <v>581.5383936799999</v>
      </c>
      <c r="J36" s="10">
        <v>161.76587709</v>
      </c>
      <c r="K36" s="10">
        <v>900</v>
      </c>
      <c r="L36" s="10">
        <v>904</v>
      </c>
      <c r="M36" s="10">
        <v>1111.82986018</v>
      </c>
      <c r="N36" s="10">
        <v>622.97011378000002</v>
      </c>
      <c r="O36" s="10">
        <v>837.66560785999991</v>
      </c>
      <c r="P36" s="10">
        <v>134.21344300999999</v>
      </c>
      <c r="Q36" s="10">
        <v>45.578262130000006</v>
      </c>
      <c r="R36" s="10">
        <v>832.16067958999997</v>
      </c>
      <c r="S36" s="10" t="s">
        <v>69</v>
      </c>
      <c r="T36" s="10">
        <v>394.26949205999995</v>
      </c>
      <c r="U36" s="10">
        <v>412.05621925999998</v>
      </c>
      <c r="V36" s="10">
        <v>7304.4291071900007</v>
      </c>
      <c r="W36" s="10">
        <v>1986.7885092200002</v>
      </c>
      <c r="X36" s="10">
        <v>47.351840029999991</v>
      </c>
      <c r="Y36" s="10">
        <v>3.862252E-2</v>
      </c>
      <c r="Z36" s="10">
        <v>1.32610721</v>
      </c>
      <c r="AA36" s="10">
        <v>362.18021841000001</v>
      </c>
      <c r="AB36" s="10">
        <v>31.240321280000003</v>
      </c>
      <c r="AC36" s="10">
        <v>7827.8463247</v>
      </c>
      <c r="AD36" s="10">
        <v>12913.586700809998</v>
      </c>
      <c r="AE36" s="10">
        <v>4152.0103783200002</v>
      </c>
      <c r="AF36" s="10">
        <v>1512.6121422099998</v>
      </c>
      <c r="AG36" s="10">
        <v>331.93735848000006</v>
      </c>
      <c r="AH36" s="10" t="s">
        <v>69</v>
      </c>
      <c r="AI36" s="10">
        <v>1044.6928343899999</v>
      </c>
    </row>
    <row r="37" spans="1:35" ht="15.75" x14ac:dyDescent="0.25">
      <c r="A37" t="s">
        <v>126</v>
      </c>
      <c r="B37" s="10">
        <v>14557.331916500001</v>
      </c>
      <c r="C37" s="10">
        <v>653.78963176000002</v>
      </c>
      <c r="D37" s="10">
        <v>15893.294063410001</v>
      </c>
      <c r="E37" s="10">
        <v>8265.3840113000006</v>
      </c>
      <c r="F37" s="10">
        <v>238.59497069</v>
      </c>
      <c r="G37" s="10">
        <v>5548.8582807700004</v>
      </c>
      <c r="H37" s="10">
        <v>1177.2685459099998</v>
      </c>
      <c r="I37" s="10">
        <v>758.80812685000001</v>
      </c>
      <c r="J37" s="10">
        <v>181.55887513999997</v>
      </c>
      <c r="K37" s="10">
        <v>1073</v>
      </c>
      <c r="L37" s="10">
        <v>1120</v>
      </c>
      <c r="M37" s="10">
        <v>1398.5250202</v>
      </c>
      <c r="N37" s="10">
        <v>1025.1739162000001</v>
      </c>
      <c r="O37" s="10">
        <v>1158.3754707799999</v>
      </c>
      <c r="P37" s="10">
        <v>173.08772575999998</v>
      </c>
      <c r="Q37" s="10">
        <v>47.647031179999999</v>
      </c>
      <c r="R37" s="10">
        <v>946.41108986000006</v>
      </c>
      <c r="S37" s="10" t="s">
        <v>69</v>
      </c>
      <c r="T37" s="10">
        <v>412.89048754000004</v>
      </c>
      <c r="U37" s="10">
        <v>932.35096942999974</v>
      </c>
      <c r="V37" s="10">
        <v>8794.5952552800009</v>
      </c>
      <c r="W37" s="10">
        <v>2140.2120982900001</v>
      </c>
      <c r="X37" s="10">
        <v>51.069769790000002</v>
      </c>
      <c r="Y37" s="10">
        <v>1.4870040000000001E-2</v>
      </c>
      <c r="Z37" s="10">
        <v>1.4869538100000004</v>
      </c>
      <c r="AA37" s="10">
        <v>391.12739684999997</v>
      </c>
      <c r="AB37" s="10">
        <v>28.235574620000001</v>
      </c>
      <c r="AC37" s="10">
        <v>7513.2684852500006</v>
      </c>
      <c r="AD37" s="10">
        <v>11988.425221109997</v>
      </c>
      <c r="AE37" s="10">
        <v>3825.9285737600012</v>
      </c>
      <c r="AF37" s="10">
        <v>1416.6439137499999</v>
      </c>
      <c r="AG37" s="10">
        <v>340.59239943</v>
      </c>
      <c r="AH37" s="10" t="s">
        <v>69</v>
      </c>
      <c r="AI37" s="10">
        <v>-701.03649695000024</v>
      </c>
    </row>
    <row r="38" spans="1:35" ht="15.75" x14ac:dyDescent="0.25">
      <c r="A38" t="s">
        <v>127</v>
      </c>
      <c r="B38" s="10">
        <v>13326.97566529</v>
      </c>
      <c r="C38" s="10">
        <v>637.72335229999999</v>
      </c>
      <c r="D38" s="10">
        <v>17542.782853570003</v>
      </c>
      <c r="E38" s="10">
        <v>8368.3662061600007</v>
      </c>
      <c r="F38" s="10">
        <v>556.84803023999996</v>
      </c>
      <c r="G38" s="10">
        <v>5566.6123647099994</v>
      </c>
      <c r="H38" s="10">
        <v>1245.3443057100001</v>
      </c>
      <c r="I38" s="10">
        <v>1022.87172588</v>
      </c>
      <c r="J38" s="10">
        <v>190.38321089999999</v>
      </c>
      <c r="K38" s="10">
        <v>842</v>
      </c>
      <c r="L38" s="10">
        <v>704</v>
      </c>
      <c r="M38" s="10">
        <v>1388.3419786700001</v>
      </c>
      <c r="N38" s="10">
        <v>689.22166760000005</v>
      </c>
      <c r="O38" s="10">
        <v>779.33713345000001</v>
      </c>
      <c r="P38" s="10">
        <v>132.64341579000001</v>
      </c>
      <c r="Q38" s="10">
        <v>37.034333360000005</v>
      </c>
      <c r="R38" s="10">
        <v>566.61458735999997</v>
      </c>
      <c r="S38" s="10" t="s">
        <v>69</v>
      </c>
      <c r="T38" s="10">
        <v>442.42722470000001</v>
      </c>
      <c r="U38" s="10">
        <v>291.05926654000001</v>
      </c>
      <c r="V38" s="10">
        <v>8306.8530311100003</v>
      </c>
      <c r="W38" s="10">
        <v>2169.5634963200005</v>
      </c>
      <c r="X38" s="10">
        <v>50.224970490000004</v>
      </c>
      <c r="Y38" s="10">
        <v>3.5155539999999999E-2</v>
      </c>
      <c r="Z38" s="10">
        <v>1.1225339299999999</v>
      </c>
      <c r="AA38" s="10">
        <v>398.3258917</v>
      </c>
      <c r="AB38" s="10">
        <v>28.71641348</v>
      </c>
      <c r="AC38" s="10">
        <v>8670.5564013700005</v>
      </c>
      <c r="AD38" s="10">
        <v>14273.034165880003</v>
      </c>
      <c r="AE38" s="10">
        <v>4710.9519070799997</v>
      </c>
      <c r="AF38" s="10">
        <v>1937.0966620200002</v>
      </c>
      <c r="AG38" s="10">
        <v>623.35247406000008</v>
      </c>
      <c r="AH38" s="10" t="s">
        <v>69</v>
      </c>
      <c r="AI38" s="10">
        <v>-96.622007830000143</v>
      </c>
    </row>
    <row r="39" spans="1:35" ht="15.75" x14ac:dyDescent="0.25">
      <c r="A39" t="s">
        <v>128</v>
      </c>
      <c r="B39" s="10">
        <v>24100.186625719998</v>
      </c>
      <c r="C39" s="10">
        <v>784.95498086999999</v>
      </c>
      <c r="D39" s="10">
        <v>18047.036997809999</v>
      </c>
      <c r="E39" s="10">
        <v>10481.686290270001</v>
      </c>
      <c r="F39" s="10">
        <v>401.74735016</v>
      </c>
      <c r="G39" s="10">
        <v>6500.1706087999992</v>
      </c>
      <c r="H39" s="10">
        <v>1212.8315252100001</v>
      </c>
      <c r="I39" s="10">
        <v>1154.53102752</v>
      </c>
      <c r="J39" s="10">
        <v>187.23562235</v>
      </c>
      <c r="K39" s="10">
        <v>802</v>
      </c>
      <c r="L39" s="10">
        <v>707</v>
      </c>
      <c r="M39" s="10">
        <v>1557.1906726500001</v>
      </c>
      <c r="N39" s="10">
        <v>908.22583828000006</v>
      </c>
      <c r="O39" s="10">
        <v>1139.47282292</v>
      </c>
      <c r="P39" s="10">
        <v>156.89496523</v>
      </c>
      <c r="Q39" s="10">
        <v>40.784585069999991</v>
      </c>
      <c r="R39" s="10">
        <v>2441.5950494899998</v>
      </c>
      <c r="S39" s="10" t="s">
        <v>69</v>
      </c>
      <c r="T39" s="10">
        <v>492.43332167000005</v>
      </c>
      <c r="U39" s="10">
        <v>314.94459194000001</v>
      </c>
      <c r="V39" s="10">
        <v>12416.654748920002</v>
      </c>
      <c r="W39" s="10">
        <v>2498.9106244</v>
      </c>
      <c r="X39" s="10">
        <v>55.605985560000008</v>
      </c>
      <c r="Y39" s="10">
        <v>7.7825599999999991E-3</v>
      </c>
      <c r="Z39" s="10">
        <v>2.5279019099999998</v>
      </c>
      <c r="AA39" s="10">
        <v>477.99097475000002</v>
      </c>
      <c r="AB39" s="10">
        <v>40.389381399999991</v>
      </c>
      <c r="AC39" s="10">
        <v>8637.0092343999986</v>
      </c>
      <c r="AD39" s="10">
        <v>14049.494858790003</v>
      </c>
      <c r="AE39" s="10">
        <v>4384.6836946699996</v>
      </c>
      <c r="AF39" s="10">
        <v>1956.54061523</v>
      </c>
      <c r="AG39" s="10">
        <v>650.78838569999994</v>
      </c>
      <c r="AH39" s="10" t="s">
        <v>69</v>
      </c>
      <c r="AI39" s="10">
        <v>559.84212082999943</v>
      </c>
    </row>
    <row r="40" spans="1:35" ht="15.75" x14ac:dyDescent="0.25">
      <c r="A40" t="s">
        <v>129</v>
      </c>
      <c r="B40" s="10">
        <v>16925.092047540002</v>
      </c>
      <c r="C40" s="10">
        <v>1096.4948315400002</v>
      </c>
      <c r="D40" s="10">
        <v>19886.392385589999</v>
      </c>
      <c r="E40" s="10">
        <v>12205.20897643</v>
      </c>
      <c r="F40" s="10">
        <v>352.06752242000005</v>
      </c>
      <c r="G40" s="10">
        <v>7170.0875792200004</v>
      </c>
      <c r="H40" s="10">
        <v>1235.9076723400001</v>
      </c>
      <c r="I40" s="10">
        <v>1059.2957542500001</v>
      </c>
      <c r="J40" s="10">
        <v>192.26711701000002</v>
      </c>
      <c r="K40" s="10">
        <v>901</v>
      </c>
      <c r="L40" s="10">
        <v>709</v>
      </c>
      <c r="M40" s="10">
        <v>1573.7095931299989</v>
      </c>
      <c r="N40" s="10">
        <v>846.93882022000003</v>
      </c>
      <c r="O40" s="10">
        <v>1092.40079431</v>
      </c>
      <c r="P40" s="10">
        <v>164.48886153000001</v>
      </c>
      <c r="Q40" s="10">
        <v>44.918179790000003</v>
      </c>
      <c r="R40" s="10">
        <v>1031.4654124600002</v>
      </c>
      <c r="S40" s="10" t="s">
        <v>69</v>
      </c>
      <c r="T40" s="10">
        <v>550.35079501999996</v>
      </c>
      <c r="U40" s="10">
        <v>363.489417</v>
      </c>
      <c r="V40" s="10">
        <v>12856.559622659999</v>
      </c>
      <c r="W40" s="10">
        <v>3185.8059023400001</v>
      </c>
      <c r="X40" s="10">
        <v>69.756576200000012</v>
      </c>
      <c r="Y40" s="10">
        <v>4.096455999999999E-2</v>
      </c>
      <c r="Z40" s="10">
        <v>1.7214505</v>
      </c>
      <c r="AA40" s="10">
        <v>592.86951796000005</v>
      </c>
      <c r="AB40" s="10">
        <v>47.368891380000001</v>
      </c>
      <c r="AC40" s="10">
        <v>10331.9824833</v>
      </c>
      <c r="AD40" s="10">
        <v>16772.22281213</v>
      </c>
      <c r="AE40" s="10">
        <v>5395.82484449</v>
      </c>
      <c r="AF40" s="10">
        <v>2420.1734150800003</v>
      </c>
      <c r="AG40" s="10">
        <v>690.23334817999989</v>
      </c>
      <c r="AH40" s="10">
        <v>0.81971196000000002</v>
      </c>
      <c r="AI40" s="10">
        <v>26.592977059999058</v>
      </c>
    </row>
    <row r="41" spans="1:35" ht="15.75" x14ac:dyDescent="0.25">
      <c r="A41" t="s">
        <v>130</v>
      </c>
      <c r="B41" s="10">
        <v>18622.426272389999</v>
      </c>
      <c r="C41" s="10">
        <v>1157.7719059399999</v>
      </c>
      <c r="D41" s="10">
        <v>21234.860001779998</v>
      </c>
      <c r="E41" s="10">
        <v>12284.653450599999</v>
      </c>
      <c r="F41" s="10">
        <v>337.16036169999995</v>
      </c>
      <c r="G41" s="10">
        <v>7647.8625979299995</v>
      </c>
      <c r="H41" s="10">
        <v>1387.3390906300001</v>
      </c>
      <c r="I41" s="10">
        <v>1183.8800355399999</v>
      </c>
      <c r="J41" s="10">
        <v>216.11418474000004</v>
      </c>
      <c r="K41" s="10">
        <v>1120</v>
      </c>
      <c r="L41" s="10">
        <v>936</v>
      </c>
      <c r="M41" s="10">
        <v>1840.8318392700003</v>
      </c>
      <c r="N41" s="10">
        <v>1195.8389479699999</v>
      </c>
      <c r="O41" s="10">
        <v>1420.0592942500002</v>
      </c>
      <c r="P41" s="10">
        <v>217.88112983000002</v>
      </c>
      <c r="Q41" s="10">
        <v>42.793557660000005</v>
      </c>
      <c r="R41" s="10">
        <v>1107.1166741900001</v>
      </c>
      <c r="S41" s="10" t="s">
        <v>69</v>
      </c>
      <c r="T41" s="10">
        <v>607.34135903999993</v>
      </c>
      <c r="U41" s="10">
        <v>399.45216792999992</v>
      </c>
      <c r="V41" s="10">
        <v>11967.28504834</v>
      </c>
      <c r="W41" s="10">
        <v>3328.3467863300002</v>
      </c>
      <c r="X41" s="10">
        <v>70.098383740000003</v>
      </c>
      <c r="Y41" s="10">
        <v>-1.12133101</v>
      </c>
      <c r="Z41" s="10">
        <v>2.03583881</v>
      </c>
      <c r="AA41" s="10">
        <v>619.73025964999999</v>
      </c>
      <c r="AB41" s="10">
        <v>46.435790740000002</v>
      </c>
      <c r="AC41" s="10">
        <v>9963.6339880499982</v>
      </c>
      <c r="AD41" s="10">
        <v>16578.039141239999</v>
      </c>
      <c r="AE41" s="10">
        <v>5118.5240527399992</v>
      </c>
      <c r="AF41" s="10">
        <v>2343.2551900099998</v>
      </c>
      <c r="AG41" s="10">
        <v>705.55827800000009</v>
      </c>
      <c r="AH41" s="10">
        <v>1.5682975099999998</v>
      </c>
      <c r="AI41" s="10">
        <v>-199.19907903000023</v>
      </c>
    </row>
    <row r="42" spans="1:35" ht="15.75" x14ac:dyDescent="0.25">
      <c r="A42" t="s">
        <v>131</v>
      </c>
      <c r="B42" s="10">
        <v>18737.186002670001</v>
      </c>
      <c r="C42" s="10">
        <v>1212.11262296</v>
      </c>
      <c r="D42" s="10">
        <v>22616.678638829999</v>
      </c>
      <c r="E42" s="10">
        <v>12700.38708841</v>
      </c>
      <c r="F42" s="10">
        <v>317.98160071000001</v>
      </c>
      <c r="G42" s="10">
        <v>7718.5164543299998</v>
      </c>
      <c r="H42" s="10">
        <v>1592.8494690900002</v>
      </c>
      <c r="I42" s="10">
        <v>1216.2659126399999</v>
      </c>
      <c r="J42" s="10">
        <v>248.90640822</v>
      </c>
      <c r="K42" s="10">
        <v>1053</v>
      </c>
      <c r="L42" s="10">
        <v>876</v>
      </c>
      <c r="M42" s="10">
        <v>1858.27274018</v>
      </c>
      <c r="N42" s="10">
        <v>697.54706934000001</v>
      </c>
      <c r="O42" s="10">
        <v>883.44018943999993</v>
      </c>
      <c r="P42" s="10">
        <v>164.94828483000001</v>
      </c>
      <c r="Q42" s="10">
        <v>42.46658334</v>
      </c>
      <c r="R42" s="10">
        <v>649.06689419999998</v>
      </c>
      <c r="S42" s="10" t="s">
        <v>69</v>
      </c>
      <c r="T42" s="10">
        <v>663.53627268000002</v>
      </c>
      <c r="U42" s="10">
        <v>385.90848381000001</v>
      </c>
      <c r="V42" s="10">
        <v>10543.352023310001</v>
      </c>
      <c r="W42" s="10">
        <v>3166.7706839800003</v>
      </c>
      <c r="X42" s="10">
        <v>67.194779290000014</v>
      </c>
      <c r="Y42" s="10">
        <v>1.595479E-2</v>
      </c>
      <c r="Z42" s="10">
        <v>2.69379283</v>
      </c>
      <c r="AA42" s="10">
        <v>610.75438333</v>
      </c>
      <c r="AB42" s="10">
        <v>43.658596209999999</v>
      </c>
      <c r="AC42" s="10">
        <v>11821.670403679998</v>
      </c>
      <c r="AD42" s="10">
        <v>19374.12924953</v>
      </c>
      <c r="AE42" s="10">
        <v>6370.4457438699992</v>
      </c>
      <c r="AF42" s="10">
        <v>2883.0140686600002</v>
      </c>
      <c r="AG42" s="10">
        <v>738.01333647000001</v>
      </c>
      <c r="AH42" s="10">
        <v>22.057393489999995</v>
      </c>
      <c r="AI42" s="10">
        <v>102.43227593999944</v>
      </c>
    </row>
    <row r="43" spans="1:35" ht="15.75" x14ac:dyDescent="0.25">
      <c r="A43" t="s">
        <v>132</v>
      </c>
      <c r="B43" s="10">
        <v>32641.706732260001</v>
      </c>
      <c r="C43" s="10">
        <v>1452.20677875</v>
      </c>
      <c r="D43" s="10">
        <v>23564.91402937</v>
      </c>
      <c r="E43" s="10">
        <v>14206.17820106</v>
      </c>
      <c r="F43" s="10">
        <v>302.72595512999999</v>
      </c>
      <c r="G43" s="10">
        <v>8814.7390845400005</v>
      </c>
      <c r="H43" s="10">
        <v>1511.4544838300001</v>
      </c>
      <c r="I43" s="10">
        <v>1049.20708178</v>
      </c>
      <c r="J43" s="10">
        <v>237.91597259000002</v>
      </c>
      <c r="K43" s="10">
        <v>879</v>
      </c>
      <c r="L43" s="10">
        <v>1481</v>
      </c>
      <c r="M43" s="10">
        <v>1790.4237928699981</v>
      </c>
      <c r="N43" s="10">
        <v>1065.20106214</v>
      </c>
      <c r="O43" s="10">
        <v>1252.71228804</v>
      </c>
      <c r="P43" s="10">
        <v>204.86987659000002</v>
      </c>
      <c r="Q43" s="10">
        <v>42.662150840000002</v>
      </c>
      <c r="R43" s="10">
        <v>2730.8232417200002</v>
      </c>
      <c r="S43" s="10" t="s">
        <v>69</v>
      </c>
      <c r="T43" s="10">
        <v>724.70439189000001</v>
      </c>
      <c r="U43" s="10">
        <v>432.23541588000001</v>
      </c>
      <c r="V43" s="10">
        <v>14382.570576329999</v>
      </c>
      <c r="W43" s="10">
        <v>3343.7580545699998</v>
      </c>
      <c r="X43" s="10">
        <v>71.509277569999995</v>
      </c>
      <c r="Y43" s="10">
        <v>4.2214420000000002E-2</v>
      </c>
      <c r="Z43" s="10">
        <v>1.608954</v>
      </c>
      <c r="AA43" s="10">
        <v>667.86028915999998</v>
      </c>
      <c r="AB43" s="10">
        <v>54.781131380000005</v>
      </c>
      <c r="AC43" s="10">
        <v>11759.873100320001</v>
      </c>
      <c r="AD43" s="10">
        <v>19336.615632480003</v>
      </c>
      <c r="AE43" s="10">
        <v>6087.2070956199987</v>
      </c>
      <c r="AF43" s="10">
        <v>2827.2054736999999</v>
      </c>
      <c r="AG43" s="10">
        <v>762.98759701999995</v>
      </c>
      <c r="AH43" s="10">
        <v>36.12830482999999</v>
      </c>
      <c r="AI43" s="10">
        <v>381.80349207000052</v>
      </c>
    </row>
    <row r="44" spans="1:35" ht="15.75" x14ac:dyDescent="0.25">
      <c r="A44" t="s">
        <v>133</v>
      </c>
      <c r="B44" s="10">
        <v>24916.881637890001</v>
      </c>
      <c r="C44" s="10">
        <v>1516.83228779</v>
      </c>
      <c r="D44" s="10">
        <v>26794.194860480002</v>
      </c>
      <c r="E44" s="10">
        <v>15236.851892439998</v>
      </c>
      <c r="F44" s="10">
        <v>362.43697323999999</v>
      </c>
      <c r="G44" s="10">
        <v>9750.6754926100002</v>
      </c>
      <c r="H44" s="10">
        <v>1506.5188655899999</v>
      </c>
      <c r="I44" s="10">
        <v>1134.5208617600001</v>
      </c>
      <c r="J44" s="10">
        <v>270.45840287000004</v>
      </c>
      <c r="K44" s="10">
        <v>929</v>
      </c>
      <c r="L44" s="10">
        <v>1323</v>
      </c>
      <c r="M44" s="10">
        <v>1838.24632763</v>
      </c>
      <c r="N44" s="10">
        <v>964.91772989000003</v>
      </c>
      <c r="O44" s="10">
        <v>1222.5027071900001</v>
      </c>
      <c r="P44" s="10">
        <v>210.51759494000001</v>
      </c>
      <c r="Q44" s="10">
        <v>42.855234949999996</v>
      </c>
      <c r="R44" s="10">
        <v>1182.9746726200001</v>
      </c>
      <c r="S44" s="10" t="s">
        <v>69</v>
      </c>
      <c r="T44" s="10">
        <v>767.92835895999997</v>
      </c>
      <c r="U44" s="10">
        <v>489.01483088999998</v>
      </c>
      <c r="V44" s="10">
        <v>15689.098457640001</v>
      </c>
      <c r="W44" s="10">
        <v>3729.8211181899987</v>
      </c>
      <c r="X44" s="10">
        <v>81.576070680000001</v>
      </c>
      <c r="Y44" s="10">
        <v>2.1663200000000033E-3</v>
      </c>
      <c r="Z44" s="10">
        <v>1.84022014</v>
      </c>
      <c r="AA44" s="10">
        <v>807.73290401999998</v>
      </c>
      <c r="AB44" s="10">
        <v>65.208661419999999</v>
      </c>
      <c r="AC44" s="10">
        <v>14186.138244560001</v>
      </c>
      <c r="AD44" s="10">
        <v>22446.027187419997</v>
      </c>
      <c r="AE44" s="10">
        <v>7562.3329313700015</v>
      </c>
      <c r="AF44" s="10">
        <v>3420.4075820900007</v>
      </c>
      <c r="AG44" s="10">
        <v>812.26313848000018</v>
      </c>
      <c r="AH44" s="10">
        <v>39.270748679999997</v>
      </c>
      <c r="AI44" s="10">
        <v>242.0087417299998</v>
      </c>
    </row>
    <row r="45" spans="1:35" ht="15.75" x14ac:dyDescent="0.25">
      <c r="A45" t="s">
        <v>134</v>
      </c>
      <c r="B45" s="10">
        <v>26844.186445020001</v>
      </c>
      <c r="C45" s="10">
        <v>1276.76875868</v>
      </c>
      <c r="D45" s="10">
        <v>27426.518293040001</v>
      </c>
      <c r="E45" s="10">
        <v>15520.16727469</v>
      </c>
      <c r="F45" s="10">
        <v>373.79805064999999</v>
      </c>
      <c r="G45" s="10">
        <v>9895.5704044800004</v>
      </c>
      <c r="H45" s="10">
        <v>1671.8437703900001</v>
      </c>
      <c r="I45" s="10">
        <v>1273.63572245</v>
      </c>
      <c r="J45" s="10">
        <v>268.98635407</v>
      </c>
      <c r="K45" s="10">
        <v>968</v>
      </c>
      <c r="L45" s="10">
        <v>1010</v>
      </c>
      <c r="M45" s="10">
        <v>2575.4417229399987</v>
      </c>
      <c r="N45" s="10">
        <v>1299.8217851899999</v>
      </c>
      <c r="O45" s="10">
        <v>1626.0276587100002</v>
      </c>
      <c r="P45" s="10">
        <v>304.62831259999996</v>
      </c>
      <c r="Q45" s="10">
        <v>43.97417256</v>
      </c>
      <c r="R45" s="10">
        <v>1329.11376943</v>
      </c>
      <c r="S45" s="10" t="s">
        <v>69</v>
      </c>
      <c r="T45" s="10">
        <v>826.86776680999992</v>
      </c>
      <c r="U45" s="10">
        <v>542.50886921000006</v>
      </c>
      <c r="V45" s="10">
        <v>13548.310502120001</v>
      </c>
      <c r="W45" s="10">
        <v>4132.2233638799999</v>
      </c>
      <c r="X45" s="10">
        <v>84.656445059999996</v>
      </c>
      <c r="Y45" s="10">
        <v>-0.48524447000000004</v>
      </c>
      <c r="Z45" s="10">
        <v>2.1607197599999997</v>
      </c>
      <c r="AA45" s="10">
        <v>800.50944247999996</v>
      </c>
      <c r="AB45" s="10">
        <v>75.104361100000006</v>
      </c>
      <c r="AC45" s="10">
        <v>13699.760262780001</v>
      </c>
      <c r="AD45" s="10">
        <v>21187.33368399</v>
      </c>
      <c r="AE45" s="10">
        <v>6987.6708595699984</v>
      </c>
      <c r="AF45" s="10">
        <v>3206.8900193899999</v>
      </c>
      <c r="AG45" s="10">
        <v>784.10573473999989</v>
      </c>
      <c r="AH45" s="10">
        <v>42.965787540000001</v>
      </c>
      <c r="AI45" s="10">
        <v>-16.619018360000609</v>
      </c>
    </row>
    <row r="46" spans="1:35" ht="15.75" x14ac:dyDescent="0.25">
      <c r="A46" t="s">
        <v>135</v>
      </c>
      <c r="B46" s="10">
        <v>24949.48706304</v>
      </c>
      <c r="C46" s="10">
        <v>1171.4726729899999</v>
      </c>
      <c r="D46" s="10">
        <v>31033.546179159999</v>
      </c>
      <c r="E46" s="10">
        <v>12302.605517350001</v>
      </c>
      <c r="F46" s="10">
        <v>326.10196423000002</v>
      </c>
      <c r="G46" s="10">
        <v>9837.9353326</v>
      </c>
      <c r="H46" s="10">
        <v>1843.8323141099997</v>
      </c>
      <c r="I46" s="10">
        <v>1259.0630807499999</v>
      </c>
      <c r="J46" s="10">
        <v>291.84101712999995</v>
      </c>
      <c r="K46" s="10">
        <v>726</v>
      </c>
      <c r="L46" s="10">
        <v>700</v>
      </c>
      <c r="M46" s="10">
        <v>2665.6273093899999</v>
      </c>
      <c r="N46" s="10">
        <v>908.86495721000006</v>
      </c>
      <c r="O46" s="10">
        <v>1143.5173793000001</v>
      </c>
      <c r="P46" s="10">
        <v>216.26105879000002</v>
      </c>
      <c r="Q46" s="10">
        <v>49.991712829999997</v>
      </c>
      <c r="R46" s="10">
        <v>742.06682290999993</v>
      </c>
      <c r="S46" s="10" t="s">
        <v>69</v>
      </c>
      <c r="T46" s="10">
        <v>848.30791094000017</v>
      </c>
      <c r="U46" s="10">
        <v>466.36675375999999</v>
      </c>
      <c r="V46" s="10">
        <v>14455.589500149999</v>
      </c>
      <c r="W46" s="10">
        <v>3374.4971432399998</v>
      </c>
      <c r="X46" s="10">
        <v>70.721698570000001</v>
      </c>
      <c r="Y46" s="10">
        <v>1.955411E-2</v>
      </c>
      <c r="Z46" s="10">
        <v>2.0330400800000001</v>
      </c>
      <c r="AA46" s="10">
        <v>657.95368342000006</v>
      </c>
      <c r="AB46" s="10">
        <v>84.923336619999986</v>
      </c>
      <c r="AC46" s="10">
        <v>16324.268300939999</v>
      </c>
      <c r="AD46" s="10">
        <v>25060.936563529998</v>
      </c>
      <c r="AE46" s="10">
        <v>8788.1567882800009</v>
      </c>
      <c r="AF46" s="10">
        <v>3883.8270676499997</v>
      </c>
      <c r="AG46" s="10">
        <v>822.72787680999988</v>
      </c>
      <c r="AH46" s="10">
        <v>45.251232299999998</v>
      </c>
      <c r="AI46" s="10">
        <v>402.07070128000117</v>
      </c>
    </row>
    <row r="47" spans="1:35" ht="15.75" x14ac:dyDescent="0.25">
      <c r="A47" t="s">
        <v>136</v>
      </c>
      <c r="B47" s="10">
        <v>37070.81942249</v>
      </c>
      <c r="C47" s="10">
        <v>1314.7976963300002</v>
      </c>
      <c r="D47" s="10">
        <v>32567.386446440003</v>
      </c>
      <c r="E47" s="10">
        <v>12815.189382330002</v>
      </c>
      <c r="F47" s="10">
        <v>332.14204254000003</v>
      </c>
      <c r="G47" s="10">
        <v>10585.89607576</v>
      </c>
      <c r="H47" s="10">
        <v>1787.5797600800001</v>
      </c>
      <c r="I47" s="10">
        <v>1249.4352722200001</v>
      </c>
      <c r="J47" s="10">
        <v>287.00852752999992</v>
      </c>
      <c r="K47" s="10">
        <v>295.62299999999999</v>
      </c>
      <c r="L47" s="10">
        <v>227</v>
      </c>
      <c r="M47" s="10">
        <v>2404.82611554</v>
      </c>
      <c r="N47" s="10">
        <v>1289.3990700899999</v>
      </c>
      <c r="O47" s="10">
        <v>1609.9461217500002</v>
      </c>
      <c r="P47" s="10">
        <v>265.19695853999997</v>
      </c>
      <c r="Q47" s="10">
        <v>43.002396140000002</v>
      </c>
      <c r="R47" s="10">
        <v>3305.6264340499993</v>
      </c>
      <c r="S47" s="10" t="s">
        <v>69</v>
      </c>
      <c r="T47" s="10">
        <v>920.60941015999992</v>
      </c>
      <c r="U47" s="10">
        <v>561.83542725000007</v>
      </c>
      <c r="V47" s="10">
        <v>16953.85219686</v>
      </c>
      <c r="W47" s="10">
        <v>3262.4598300200005</v>
      </c>
      <c r="X47" s="10">
        <v>70.924067210000004</v>
      </c>
      <c r="Y47" s="10">
        <v>1.5682700000000001E-2</v>
      </c>
      <c r="Z47" s="10">
        <v>2.4243433199999997</v>
      </c>
      <c r="AA47" s="10">
        <v>719.93641625999999</v>
      </c>
      <c r="AB47" s="10">
        <v>71.757971130000001</v>
      </c>
      <c r="AC47" s="10">
        <v>15870.644917100004</v>
      </c>
      <c r="AD47" s="10">
        <v>24542.919996780001</v>
      </c>
      <c r="AE47" s="10">
        <v>8166.4531832100001</v>
      </c>
      <c r="AF47" s="10">
        <v>3584.0513409099999</v>
      </c>
      <c r="AG47" s="10">
        <v>832.36409803999993</v>
      </c>
      <c r="AH47" s="10">
        <v>63.536255199999999</v>
      </c>
      <c r="AI47" s="10">
        <v>600.22265626000126</v>
      </c>
    </row>
    <row r="48" spans="1:35" ht="15.75" x14ac:dyDescent="0.25">
      <c r="A48" t="s">
        <v>137</v>
      </c>
      <c r="B48" s="10">
        <v>32360.226022489998</v>
      </c>
      <c r="C48" s="10">
        <v>1702.5106067500003</v>
      </c>
      <c r="D48" s="10">
        <v>34011.184692089999</v>
      </c>
      <c r="E48" s="10">
        <v>15749.62816237</v>
      </c>
      <c r="F48" s="10">
        <v>360.05375961999999</v>
      </c>
      <c r="G48" s="10">
        <v>11391.17326422</v>
      </c>
      <c r="H48" s="10">
        <v>1899.08608465</v>
      </c>
      <c r="I48" s="10">
        <v>1377.57111001</v>
      </c>
      <c r="J48" s="10">
        <v>294.56593723999998</v>
      </c>
      <c r="K48" s="10">
        <v>523.20000000000005</v>
      </c>
      <c r="L48" s="10">
        <v>250</v>
      </c>
      <c r="M48" s="10">
        <v>3102.08823566</v>
      </c>
      <c r="N48" s="10">
        <v>1660.91705239</v>
      </c>
      <c r="O48" s="10">
        <v>2062.7855817700001</v>
      </c>
      <c r="P48" s="10">
        <v>300.13937155999997</v>
      </c>
      <c r="Q48" s="10">
        <v>46.896734309999999</v>
      </c>
      <c r="R48" s="10">
        <v>1498.3628922299999</v>
      </c>
      <c r="S48" s="10" t="s">
        <v>69</v>
      </c>
      <c r="T48" s="10">
        <v>998.96900009000012</v>
      </c>
      <c r="U48" s="10">
        <v>543.34905457000002</v>
      </c>
      <c r="V48" s="10">
        <v>17893.35355544</v>
      </c>
      <c r="W48" s="10">
        <v>4528.7687966399999</v>
      </c>
      <c r="X48" s="10">
        <v>89.13852627</v>
      </c>
      <c r="Y48" s="10">
        <v>-1.0461631300000001</v>
      </c>
      <c r="Z48" s="10">
        <v>3.5869062600000006</v>
      </c>
      <c r="AA48" s="10">
        <v>854.67388698000013</v>
      </c>
      <c r="AB48" s="10">
        <v>93.473937540000009</v>
      </c>
      <c r="AC48" s="10">
        <v>18940.91898382</v>
      </c>
      <c r="AD48" s="10">
        <v>28536.338331470011</v>
      </c>
      <c r="AE48" s="10">
        <v>9882.5737092400013</v>
      </c>
      <c r="AF48" s="10">
        <v>4425.4691761400009</v>
      </c>
      <c r="AG48" s="10">
        <v>1127.2074326000002</v>
      </c>
      <c r="AH48" s="10">
        <v>50.81457558000001</v>
      </c>
      <c r="AI48" s="10">
        <v>476.92377648000024</v>
      </c>
    </row>
    <row r="49" spans="1:35" ht="15.75" x14ac:dyDescent="0.25">
      <c r="A49" t="s">
        <v>138</v>
      </c>
      <c r="B49" s="10">
        <v>37217.135334909995</v>
      </c>
      <c r="C49" s="10">
        <v>2653.1914803300001</v>
      </c>
      <c r="D49" s="10">
        <v>36204.209219769997</v>
      </c>
      <c r="E49" s="10">
        <v>18383.500526489999</v>
      </c>
      <c r="F49" s="10">
        <v>424.71676065000003</v>
      </c>
      <c r="G49" s="10">
        <v>12116.141958460001</v>
      </c>
      <c r="H49" s="10">
        <v>1982.0429220600001</v>
      </c>
      <c r="I49" s="10">
        <v>1633.6436863900003</v>
      </c>
      <c r="J49" s="10">
        <v>323.61968824999997</v>
      </c>
      <c r="K49" s="10">
        <v>1026</v>
      </c>
      <c r="L49" s="10">
        <v>810</v>
      </c>
      <c r="M49" s="10">
        <v>3177.0243075899998</v>
      </c>
      <c r="N49" s="10">
        <v>1930.84928519</v>
      </c>
      <c r="O49" s="10">
        <v>2493.7792036800001</v>
      </c>
      <c r="P49" s="10">
        <v>365.83189647999995</v>
      </c>
      <c r="Q49" s="10">
        <v>48.462066140000005</v>
      </c>
      <c r="R49" s="10">
        <v>1716.6906605700001</v>
      </c>
      <c r="S49" s="10" t="s">
        <v>69</v>
      </c>
      <c r="T49" s="10">
        <v>1057.22116108</v>
      </c>
      <c r="U49" s="10">
        <v>558.46156716000007</v>
      </c>
      <c r="V49" s="10">
        <v>12013.056037479999</v>
      </c>
      <c r="W49" s="10">
        <v>5146.8803495900002</v>
      </c>
      <c r="X49" s="10">
        <v>96.607530819999994</v>
      </c>
      <c r="Y49" s="10">
        <v>0.7562611199999999</v>
      </c>
      <c r="Z49" s="10">
        <v>1.71572966</v>
      </c>
      <c r="AA49" s="10">
        <v>865.74009505999993</v>
      </c>
      <c r="AB49" s="10">
        <v>97.817951319999992</v>
      </c>
      <c r="AC49" s="10">
        <v>18407.85427924</v>
      </c>
      <c r="AD49" s="10">
        <v>27571.084361109999</v>
      </c>
      <c r="AE49" s="10">
        <v>9163.8282044999996</v>
      </c>
      <c r="AF49" s="10">
        <v>4332.54150132</v>
      </c>
      <c r="AG49" s="10">
        <v>1174.7582750699999</v>
      </c>
      <c r="AH49" s="10">
        <v>41.481811780000001</v>
      </c>
      <c r="AI49" s="10">
        <v>-545.55802984000059</v>
      </c>
    </row>
    <row r="50" spans="1:35" ht="15.75" x14ac:dyDescent="0.25">
      <c r="A50" t="s">
        <v>139</v>
      </c>
      <c r="B50" s="10">
        <v>34382.069950639998</v>
      </c>
      <c r="C50" s="10">
        <v>2568.51585127</v>
      </c>
      <c r="D50" s="10">
        <v>39156.901901589998</v>
      </c>
      <c r="E50" s="10">
        <v>17225.871899419999</v>
      </c>
      <c r="F50" s="10">
        <v>391.91396411999995</v>
      </c>
      <c r="G50" s="10">
        <v>12197.555084109999</v>
      </c>
      <c r="H50" s="10">
        <v>2173.1740100000002</v>
      </c>
      <c r="I50" s="10">
        <v>1729.810669</v>
      </c>
      <c r="J50" s="10">
        <v>327.96807200000001</v>
      </c>
      <c r="K50" s="10">
        <v>662</v>
      </c>
      <c r="L50" s="10">
        <v>635</v>
      </c>
      <c r="M50" s="10">
        <v>3025.9917882199998</v>
      </c>
      <c r="N50" s="10">
        <v>1030.4165441599998</v>
      </c>
      <c r="O50" s="10">
        <v>1436.077135</v>
      </c>
      <c r="P50" s="10">
        <v>275.12702410000003</v>
      </c>
      <c r="Q50" s="10">
        <v>45.5639684</v>
      </c>
      <c r="R50" s="10">
        <v>994.60771721000015</v>
      </c>
      <c r="S50" s="10" t="s">
        <v>69</v>
      </c>
      <c r="T50" s="10">
        <v>1079.2000949999999</v>
      </c>
      <c r="U50" s="10">
        <v>567.40233499999999</v>
      </c>
      <c r="V50" s="10">
        <v>9782.6595913300007</v>
      </c>
      <c r="W50" s="10">
        <v>5006.61636</v>
      </c>
      <c r="X50" s="10">
        <v>90.060999800000005</v>
      </c>
      <c r="Y50" s="10">
        <v>3.587373E-2</v>
      </c>
      <c r="Z50" s="10">
        <v>2.3722354000000001</v>
      </c>
      <c r="AA50" s="10">
        <v>818.12284899999997</v>
      </c>
      <c r="AB50" s="10">
        <v>83.477827700000006</v>
      </c>
      <c r="AC50" s="10">
        <v>21582.579971809999</v>
      </c>
      <c r="AD50" s="10">
        <v>32735.563239920008</v>
      </c>
      <c r="AE50" s="10">
        <v>11325.52283</v>
      </c>
      <c r="AF50" s="10">
        <v>5667.9872300000006</v>
      </c>
      <c r="AG50" s="10">
        <v>1190.842048</v>
      </c>
      <c r="AH50" s="10">
        <v>44.608692300000001</v>
      </c>
      <c r="AI50" s="10">
        <v>221.01230199999998</v>
      </c>
    </row>
    <row r="51" spans="1:35" ht="15.75" x14ac:dyDescent="0.25">
      <c r="A51" t="s">
        <v>140</v>
      </c>
      <c r="B51" s="10">
        <v>51100.530564100001</v>
      </c>
      <c r="C51" s="10">
        <v>2961.1712979100002</v>
      </c>
      <c r="D51" s="10">
        <v>39470.608659929996</v>
      </c>
      <c r="E51" s="10">
        <v>20074.422573240001</v>
      </c>
      <c r="F51" s="10">
        <v>480.24347840999997</v>
      </c>
      <c r="G51" s="10">
        <v>13324.52650184</v>
      </c>
      <c r="H51" s="10">
        <v>2152.6252020000002</v>
      </c>
      <c r="I51" s="10">
        <v>1734.487104</v>
      </c>
      <c r="J51" s="10">
        <v>330.50926609999999</v>
      </c>
      <c r="K51" s="10">
        <v>983</v>
      </c>
      <c r="L51" s="10">
        <v>1599</v>
      </c>
      <c r="M51" s="10">
        <v>3448.6950204600003</v>
      </c>
      <c r="N51" s="10">
        <v>1388.9280221399999</v>
      </c>
      <c r="O51" s="10">
        <v>2280.5295780000001</v>
      </c>
      <c r="P51" s="10">
        <v>351.32655099999999</v>
      </c>
      <c r="Q51" s="10">
        <v>45.242620500000001</v>
      </c>
      <c r="R51" s="10">
        <v>4759.1177057100012</v>
      </c>
      <c r="S51" s="10" t="s">
        <v>69</v>
      </c>
      <c r="T51" s="10">
        <v>1131.6241500000001</v>
      </c>
      <c r="U51" s="10">
        <v>587.69497799999999</v>
      </c>
      <c r="V51" s="10">
        <v>18332.10423167</v>
      </c>
      <c r="W51" s="10">
        <v>5416.4835400000002</v>
      </c>
      <c r="X51" s="10">
        <v>97.523683399999996</v>
      </c>
      <c r="Y51" s="10">
        <v>7.6799800000000003E-3</v>
      </c>
      <c r="Z51" s="10">
        <v>0.40372948999999997</v>
      </c>
      <c r="AA51" s="10">
        <v>1481.1664369999999</v>
      </c>
      <c r="AB51" s="10">
        <v>79.030842300000003</v>
      </c>
      <c r="AC51" s="10">
        <v>21822.265908200003</v>
      </c>
      <c r="AD51" s="10">
        <v>33075.481966149993</v>
      </c>
      <c r="AE51" s="10">
        <v>10542.665919999999</v>
      </c>
      <c r="AF51" s="10">
        <v>5370.7711099999997</v>
      </c>
      <c r="AG51" s="10">
        <v>1192.460227</v>
      </c>
      <c r="AH51" s="10">
        <v>44.874807100000005</v>
      </c>
      <c r="AI51" s="10">
        <v>-1359.0389300000002</v>
      </c>
    </row>
    <row r="52" spans="1:35" ht="15.75" x14ac:dyDescent="0.25">
      <c r="A52" t="s">
        <v>141</v>
      </c>
      <c r="B52" s="10">
        <v>42567.180661869999</v>
      </c>
      <c r="C52" s="10">
        <v>2820.1742138600002</v>
      </c>
      <c r="D52" s="10">
        <v>45089.388566089998</v>
      </c>
      <c r="E52" s="10">
        <v>21504.944258060001</v>
      </c>
      <c r="F52" s="10">
        <v>383.62300011000002</v>
      </c>
      <c r="G52" s="10">
        <v>15056.70249937</v>
      </c>
      <c r="H52" s="10">
        <v>2178.656066</v>
      </c>
      <c r="I52" s="10">
        <v>1822.3227730000003</v>
      </c>
      <c r="J52" s="10">
        <v>338.65623300000004</v>
      </c>
      <c r="K52" s="10">
        <v>597</v>
      </c>
      <c r="L52" s="10">
        <v>1793</v>
      </c>
      <c r="M52" s="10">
        <v>4008.0886950200002</v>
      </c>
      <c r="N52" s="10">
        <v>1276.4800755699998</v>
      </c>
      <c r="O52" s="10">
        <v>2314.6111350000001</v>
      </c>
      <c r="P52" s="10">
        <v>365.43082600000002</v>
      </c>
      <c r="Q52" s="10">
        <v>46.3307249</v>
      </c>
      <c r="R52" s="10">
        <v>2189.8262726799999</v>
      </c>
      <c r="S52" s="10" t="s">
        <v>69</v>
      </c>
      <c r="T52" s="10">
        <v>1242.019548</v>
      </c>
      <c r="U52" s="10">
        <v>659.61735299999998</v>
      </c>
      <c r="V52" s="10">
        <v>17714.773632290002</v>
      </c>
      <c r="W52" s="10">
        <v>6141.6923900000002</v>
      </c>
      <c r="X52" s="10">
        <v>111.55428670000001</v>
      </c>
      <c r="Y52" s="10">
        <v>1.0002260000000001E-2</v>
      </c>
      <c r="Z52" s="10">
        <v>0.50581147000000004</v>
      </c>
      <c r="AA52" s="10">
        <v>1934.088186</v>
      </c>
      <c r="AB52" s="10">
        <v>88.5375145</v>
      </c>
      <c r="AC52" s="10">
        <v>25072.343613180004</v>
      </c>
      <c r="AD52" s="10">
        <v>37803.917306200005</v>
      </c>
      <c r="AE52" s="10">
        <v>12813.020659999998</v>
      </c>
      <c r="AF52" s="10">
        <v>6370.8203700000004</v>
      </c>
      <c r="AG52" s="10">
        <v>1283.859289</v>
      </c>
      <c r="AH52" s="10">
        <v>46.247998200000005</v>
      </c>
      <c r="AI52" s="10">
        <v>-365.76718320000003</v>
      </c>
    </row>
    <row r="53" spans="1:35" ht="15.75" x14ac:dyDescent="0.25">
      <c r="A53" t="s">
        <v>142</v>
      </c>
      <c r="B53" s="10">
        <v>44388.08234429</v>
      </c>
      <c r="C53" s="10">
        <v>2810.9789337100001</v>
      </c>
      <c r="D53" s="10">
        <v>46666.630928989995</v>
      </c>
      <c r="E53" s="10">
        <v>22554.263216879997</v>
      </c>
      <c r="F53" s="10">
        <v>472.66206860999995</v>
      </c>
      <c r="G53" s="10">
        <v>15936.09019072</v>
      </c>
      <c r="H53" s="10">
        <v>2555.0044339999999</v>
      </c>
      <c r="I53" s="10">
        <v>2144.1014570000002</v>
      </c>
      <c r="J53" s="10">
        <v>395.13573500000001</v>
      </c>
      <c r="K53" s="10">
        <v>495</v>
      </c>
      <c r="L53" s="10">
        <v>1366.9</v>
      </c>
      <c r="M53" s="10">
        <v>4487.3633008100005</v>
      </c>
      <c r="N53" s="10">
        <v>1824.9854067299998</v>
      </c>
      <c r="O53" s="10">
        <v>2813.0128839999998</v>
      </c>
      <c r="P53" s="10">
        <v>493.42171700000006</v>
      </c>
      <c r="Q53" s="10">
        <v>52.694164000000001</v>
      </c>
      <c r="R53" s="10">
        <v>2352.7541634199997</v>
      </c>
      <c r="S53" s="10" t="s">
        <v>69</v>
      </c>
      <c r="T53" s="10">
        <v>970.04694600000005</v>
      </c>
      <c r="U53" s="10">
        <v>730.44411700000001</v>
      </c>
      <c r="V53" s="10">
        <v>9635.7141127899995</v>
      </c>
      <c r="W53" s="10">
        <v>6569.5601200000001</v>
      </c>
      <c r="X53" s="10">
        <v>117.02948280000001</v>
      </c>
      <c r="Y53" s="10">
        <v>4.706975E-2</v>
      </c>
      <c r="Z53" s="10">
        <v>2.4632631900000002</v>
      </c>
      <c r="AA53" s="10">
        <v>1762.0554209999998</v>
      </c>
      <c r="AB53" s="10">
        <v>86.145893400000006</v>
      </c>
      <c r="AC53" s="10">
        <v>23104.464276779996</v>
      </c>
      <c r="AD53" s="10">
        <v>34624.746402220007</v>
      </c>
      <c r="AE53" s="10">
        <v>11735.16887</v>
      </c>
      <c r="AF53" s="10">
        <v>5932.6879600000002</v>
      </c>
      <c r="AG53" s="10">
        <v>1457.6954169999999</v>
      </c>
      <c r="AH53" s="10">
        <v>46.514556999999996</v>
      </c>
      <c r="AI53" s="10">
        <v>190.42024240000001</v>
      </c>
    </row>
    <row r="54" spans="1:35" ht="15.75" x14ac:dyDescent="0.25">
      <c r="A54" t="s">
        <v>143</v>
      </c>
      <c r="B54" s="10">
        <v>47675.37706844999</v>
      </c>
      <c r="C54" s="10">
        <v>3644.7900540599999</v>
      </c>
      <c r="D54" s="10">
        <v>54178.670479110006</v>
      </c>
      <c r="E54" s="10">
        <v>24699.925760409998</v>
      </c>
      <c r="F54" s="10">
        <v>462.86267449000002</v>
      </c>
      <c r="G54" s="10">
        <v>16635.576154840001</v>
      </c>
      <c r="H54" s="10">
        <v>2677.7642346800003</v>
      </c>
      <c r="I54" s="10">
        <v>2579.9603540200001</v>
      </c>
      <c r="J54" s="10">
        <v>413.54608159999987</v>
      </c>
      <c r="K54" s="10">
        <v>1455.8</v>
      </c>
      <c r="L54" s="10">
        <v>2406</v>
      </c>
      <c r="M54" s="10">
        <v>3833.09249413</v>
      </c>
      <c r="N54" s="10">
        <v>1317.12621096</v>
      </c>
      <c r="O54" s="10">
        <v>1811.9547174899999</v>
      </c>
      <c r="P54" s="10">
        <v>428.99777332999997</v>
      </c>
      <c r="Q54" s="10">
        <v>44.209214129999992</v>
      </c>
      <c r="R54" s="10">
        <v>1544.57296954</v>
      </c>
      <c r="S54" s="10" t="s">
        <v>69</v>
      </c>
      <c r="T54" s="10">
        <v>959.89858546000005</v>
      </c>
      <c r="U54" s="10">
        <v>677.69003426999996</v>
      </c>
      <c r="V54" s="10">
        <v>13297.50097463</v>
      </c>
      <c r="W54" s="10">
        <v>6782.9487212200002</v>
      </c>
      <c r="X54" s="10">
        <v>134.65374572000002</v>
      </c>
      <c r="Y54" s="10">
        <v>0.15732596000000001</v>
      </c>
      <c r="Z54" s="10">
        <v>1.7657400600000002</v>
      </c>
      <c r="AA54" s="10">
        <v>1852.8318486200003</v>
      </c>
      <c r="AB54" s="10">
        <v>127.00365877000002</v>
      </c>
      <c r="AC54" s="10">
        <v>28090.035289630003</v>
      </c>
      <c r="AD54" s="10">
        <v>42184.252028909999</v>
      </c>
      <c r="AE54" s="10">
        <v>14590.0930522</v>
      </c>
      <c r="AF54" s="10">
        <v>7389.0189067600004</v>
      </c>
      <c r="AG54" s="10">
        <v>1742.4753338</v>
      </c>
      <c r="AH54" s="10">
        <v>33.53981959</v>
      </c>
      <c r="AI54" s="10">
        <v>223.60293703999935</v>
      </c>
    </row>
    <row r="55" spans="1:35" ht="15.75" x14ac:dyDescent="0.25">
      <c r="A55" t="s">
        <v>144</v>
      </c>
      <c r="B55" s="10">
        <v>70039.67413146999</v>
      </c>
      <c r="C55" s="10">
        <v>4297.7324016800003</v>
      </c>
      <c r="D55" s="10">
        <v>52253.155288830007</v>
      </c>
      <c r="E55" s="10">
        <v>26781.379441729998</v>
      </c>
      <c r="F55" s="10">
        <v>714.40071995999995</v>
      </c>
      <c r="G55" s="10">
        <v>18247.015797</v>
      </c>
      <c r="H55" s="10">
        <v>2874.6807196800005</v>
      </c>
      <c r="I55" s="10">
        <v>2096.1268056200001</v>
      </c>
      <c r="J55" s="10">
        <v>453.22389293999993</v>
      </c>
      <c r="K55" s="10">
        <v>602.02299999999991</v>
      </c>
      <c r="L55" s="10">
        <v>2949.3</v>
      </c>
      <c r="M55" s="10">
        <v>4377.5480115600003</v>
      </c>
      <c r="N55" s="10">
        <v>1303.3667089400001</v>
      </c>
      <c r="O55" s="10">
        <v>2725.7585711000002</v>
      </c>
      <c r="P55" s="10">
        <v>481.32321290999994</v>
      </c>
      <c r="Q55" s="10">
        <v>43.23862493</v>
      </c>
      <c r="R55" s="10">
        <v>6536.4043092899992</v>
      </c>
      <c r="S55" s="10" t="s">
        <v>69</v>
      </c>
      <c r="T55" s="10">
        <v>1012.7243017300001</v>
      </c>
      <c r="U55" s="10">
        <v>757.21218697999984</v>
      </c>
      <c r="V55" s="10">
        <v>31851.654213829999</v>
      </c>
      <c r="W55" s="10">
        <v>7206.7318382000012</v>
      </c>
      <c r="X55" s="10">
        <v>141.38967590999999</v>
      </c>
      <c r="Y55" s="10">
        <v>9.9150999999999992E-4</v>
      </c>
      <c r="Z55" s="10">
        <v>5.578764399999999</v>
      </c>
      <c r="AA55" s="10">
        <v>1923.6165003700003</v>
      </c>
      <c r="AB55" s="10">
        <v>114.17901217000001</v>
      </c>
      <c r="AC55" s="10">
        <v>26789.337489489997</v>
      </c>
      <c r="AD55" s="10">
        <v>40963.580989909999</v>
      </c>
      <c r="AE55" s="10">
        <v>13805.01931028</v>
      </c>
      <c r="AF55" s="10">
        <v>7239.9839994899994</v>
      </c>
      <c r="AG55" s="10">
        <v>1810.1790171600003</v>
      </c>
      <c r="AH55" s="10">
        <v>60.349607569999989</v>
      </c>
      <c r="AI55" s="10">
        <v>113.96119750999924</v>
      </c>
    </row>
    <row r="56" spans="1:35" ht="15.75" x14ac:dyDescent="0.25">
      <c r="A56" t="s">
        <v>145</v>
      </c>
      <c r="B56" s="10">
        <v>62506.330696110002</v>
      </c>
      <c r="C56" s="10">
        <v>4062.6278576999994</v>
      </c>
      <c r="D56" s="10">
        <v>59698.787122189999</v>
      </c>
      <c r="E56" s="10">
        <v>27088.252725109996</v>
      </c>
      <c r="F56" s="10">
        <v>498.14528232999999</v>
      </c>
      <c r="G56" s="10">
        <v>20453.297819659998</v>
      </c>
      <c r="H56" s="10">
        <v>3330.9335527800004</v>
      </c>
      <c r="I56" s="10">
        <v>2006.7884527699998</v>
      </c>
      <c r="J56" s="10">
        <v>517.42994720000002</v>
      </c>
      <c r="K56" s="10">
        <v>870</v>
      </c>
      <c r="L56" s="10">
        <v>2550</v>
      </c>
      <c r="M56" s="10">
        <v>5104.0304045100002</v>
      </c>
      <c r="N56" s="10">
        <v>2253.78503873</v>
      </c>
      <c r="O56" s="10">
        <v>3989.1089673499996</v>
      </c>
      <c r="P56" s="10">
        <v>535.59554426</v>
      </c>
      <c r="Q56" s="10">
        <v>46.657188850000011</v>
      </c>
      <c r="R56" s="10">
        <v>2963.4287411199998</v>
      </c>
      <c r="S56" s="10" t="s">
        <v>69</v>
      </c>
      <c r="T56" s="10">
        <v>1100.77747722</v>
      </c>
      <c r="U56" s="10">
        <v>846.75094297999988</v>
      </c>
      <c r="V56" s="10">
        <v>21852.127138969998</v>
      </c>
      <c r="W56" s="10">
        <v>7869.3019210099992</v>
      </c>
      <c r="X56" s="10">
        <v>152.39802633999997</v>
      </c>
      <c r="Y56" s="10">
        <v>4.3290179999999998E-2</v>
      </c>
      <c r="Z56" s="10">
        <v>9.9705959100000001</v>
      </c>
      <c r="AA56" s="10">
        <v>1974.3778533300001</v>
      </c>
      <c r="AB56" s="10">
        <v>116.72566526</v>
      </c>
      <c r="AC56" s="10">
        <v>32857.134503170004</v>
      </c>
      <c r="AD56" s="10">
        <v>48628.690357640007</v>
      </c>
      <c r="AE56" s="10">
        <v>16928.419516280002</v>
      </c>
      <c r="AF56" s="10">
        <v>8896.7052365800009</v>
      </c>
      <c r="AG56" s="10">
        <v>1864.3975355</v>
      </c>
      <c r="AH56" s="10">
        <v>70.225149389999999</v>
      </c>
      <c r="AI56" s="10">
        <v>1004.1277594699998</v>
      </c>
    </row>
    <row r="57" spans="1:35" ht="15.75" x14ac:dyDescent="0.25">
      <c r="A57" t="s">
        <v>146</v>
      </c>
      <c r="B57" s="10">
        <v>71144.355806729989</v>
      </c>
      <c r="C57" s="10">
        <v>3704.2284789800001</v>
      </c>
      <c r="D57" s="10">
        <v>65129.84244593</v>
      </c>
      <c r="E57" s="10">
        <v>26395.835721159994</v>
      </c>
      <c r="F57" s="10">
        <v>615.45987898999999</v>
      </c>
      <c r="G57" s="10">
        <v>21403.95545017</v>
      </c>
      <c r="H57" s="10">
        <v>4041.9745294699997</v>
      </c>
      <c r="I57" s="10">
        <v>2811.5582245000001</v>
      </c>
      <c r="J57" s="10">
        <v>629.07167797</v>
      </c>
      <c r="K57" s="10">
        <v>2095.1999999999998</v>
      </c>
      <c r="L57" s="10">
        <v>3310</v>
      </c>
      <c r="M57" s="10">
        <v>7251.4468064899993</v>
      </c>
      <c r="N57" s="10">
        <v>2937.4929090000001</v>
      </c>
      <c r="O57" s="10">
        <v>5215.4100794700007</v>
      </c>
      <c r="P57" s="10">
        <v>737.17368880000004</v>
      </c>
      <c r="Q57" s="10">
        <v>52.775176939999994</v>
      </c>
      <c r="R57" s="10">
        <v>3311.2521742200001</v>
      </c>
      <c r="S57" s="10" t="s">
        <v>69</v>
      </c>
      <c r="T57" s="10">
        <v>1185.8890560899999</v>
      </c>
      <c r="U57" s="10">
        <v>999.90779272000009</v>
      </c>
      <c r="V57" s="10">
        <v>17086.88328477</v>
      </c>
      <c r="W57" s="10">
        <v>7623.2901213700006</v>
      </c>
      <c r="X57" s="10">
        <v>147.73435742999999</v>
      </c>
      <c r="Y57" s="10">
        <v>0.15218934000000001</v>
      </c>
      <c r="Z57" s="10">
        <v>22.801817</v>
      </c>
      <c r="AA57" s="10">
        <v>1863.82045911</v>
      </c>
      <c r="AB57" s="10">
        <v>95.776435249999992</v>
      </c>
      <c r="AC57" s="10">
        <v>31694.756984260006</v>
      </c>
      <c r="AD57" s="10">
        <v>47249.174906109998</v>
      </c>
      <c r="AE57" s="10">
        <v>15821.897283540002</v>
      </c>
      <c r="AF57" s="10">
        <v>8683.1794275299999</v>
      </c>
      <c r="AG57" s="10">
        <v>2333.46056993</v>
      </c>
      <c r="AH57" s="10">
        <v>73.18477249</v>
      </c>
      <c r="AI57" s="10">
        <v>-1.9249499800003065</v>
      </c>
    </row>
    <row r="58" spans="1:35" ht="15.75" x14ac:dyDescent="0.25">
      <c r="A58" t="s">
        <v>147</v>
      </c>
      <c r="B58" s="10">
        <v>68111.590633689993</v>
      </c>
      <c r="C58" s="10">
        <v>3867.5318588</v>
      </c>
      <c r="D58" s="10">
        <v>73234.276274430013</v>
      </c>
      <c r="E58" s="10">
        <v>26736.539020060001</v>
      </c>
      <c r="F58" s="10">
        <v>537.87445271999991</v>
      </c>
      <c r="G58" s="10">
        <v>20640.413725009999</v>
      </c>
      <c r="H58" s="10">
        <v>4416.6619609199988</v>
      </c>
      <c r="I58" s="10">
        <v>2639.2409995799999</v>
      </c>
      <c r="J58" s="10">
        <v>605.80338316999996</v>
      </c>
      <c r="K58" s="10">
        <v>1506.4</v>
      </c>
      <c r="L58" s="10">
        <v>603</v>
      </c>
      <c r="M58" s="10">
        <v>5618.2701315199993</v>
      </c>
      <c r="N58" s="10">
        <v>1443.3633382400001</v>
      </c>
      <c r="O58" s="10">
        <v>3151.3816214899998</v>
      </c>
      <c r="P58" s="10">
        <v>406.43282175000002</v>
      </c>
      <c r="Q58" s="10">
        <v>44.29699565</v>
      </c>
      <c r="R58" s="10">
        <v>2221.7452193599997</v>
      </c>
      <c r="S58" s="10" t="s">
        <v>69</v>
      </c>
      <c r="T58" s="10">
        <v>1249.4398003699998</v>
      </c>
      <c r="U58" s="10">
        <v>927.74386382</v>
      </c>
      <c r="V58" s="10">
        <v>12377.220514560002</v>
      </c>
      <c r="W58" s="10">
        <v>7743.7648247800007</v>
      </c>
      <c r="X58" s="10">
        <v>152.96662742000001</v>
      </c>
      <c r="Y58" s="10">
        <v>3.7992000000000001E-4</v>
      </c>
      <c r="Z58" s="10">
        <v>19.465078590000001</v>
      </c>
      <c r="AA58" s="10">
        <v>1839.8665389</v>
      </c>
      <c r="AB58" s="10">
        <v>108.20563365</v>
      </c>
      <c r="AC58" s="10">
        <v>38401.361197970007</v>
      </c>
      <c r="AD58" s="10">
        <v>58168.743551420004</v>
      </c>
      <c r="AE58" s="10">
        <v>19768.152702009997</v>
      </c>
      <c r="AF58" s="10">
        <v>11175.30572807</v>
      </c>
      <c r="AG58" s="10">
        <v>2323.3020713099995</v>
      </c>
      <c r="AH58" s="10">
        <v>80.499705849999998</v>
      </c>
      <c r="AI58" s="10">
        <v>647.16952068000012</v>
      </c>
    </row>
    <row r="59" spans="1:35" ht="15.75" x14ac:dyDescent="0.25">
      <c r="A59" t="s">
        <v>148</v>
      </c>
      <c r="B59" s="10">
        <v>104898.13954616</v>
      </c>
      <c r="C59" s="10">
        <v>4395.8828870999996</v>
      </c>
      <c r="D59" s="10">
        <v>72815.003515880002</v>
      </c>
      <c r="E59" s="10">
        <v>28443.923830500004</v>
      </c>
      <c r="F59" s="10">
        <v>675.11917836999987</v>
      </c>
      <c r="G59" s="10">
        <v>23593.872863950004</v>
      </c>
      <c r="H59" s="10">
        <v>4568.6594807299989</v>
      </c>
      <c r="I59" s="10">
        <v>2553.0118035400001</v>
      </c>
      <c r="J59" s="10">
        <v>699.96061137000015</v>
      </c>
      <c r="K59" s="10">
        <v>1168.7</v>
      </c>
      <c r="L59" s="10">
        <v>4300</v>
      </c>
      <c r="M59" s="10">
        <v>6862.2900444999996</v>
      </c>
      <c r="N59" s="10">
        <v>2727.32400173</v>
      </c>
      <c r="O59" s="10">
        <v>6003.8599905199999</v>
      </c>
      <c r="P59" s="10">
        <v>466.54971152000007</v>
      </c>
      <c r="Q59" s="10">
        <v>44.282580620000005</v>
      </c>
      <c r="R59" s="10">
        <v>8016.5997584600009</v>
      </c>
      <c r="S59" s="10" t="s">
        <v>69</v>
      </c>
      <c r="T59" s="10">
        <v>1359.8761484900001</v>
      </c>
      <c r="U59" s="10">
        <v>1057.5495470699998</v>
      </c>
      <c r="V59" s="10">
        <v>27653.762776899999</v>
      </c>
      <c r="W59" s="10">
        <v>7836.1567226999996</v>
      </c>
      <c r="X59" s="10">
        <v>155.60365234</v>
      </c>
      <c r="Y59" s="10">
        <v>1.1033399999999997E-3</v>
      </c>
      <c r="Z59" s="10">
        <v>5.2212219400000004</v>
      </c>
      <c r="AA59" s="10">
        <v>2030.1780338499998</v>
      </c>
      <c r="AB59" s="10">
        <v>147.46343095</v>
      </c>
      <c r="AC59" s="10">
        <v>36207.814391690001</v>
      </c>
      <c r="AD59" s="10">
        <v>54657.183158750006</v>
      </c>
      <c r="AE59" s="10">
        <v>18314.656519059998</v>
      </c>
      <c r="AF59" s="10">
        <v>10733.225494730001</v>
      </c>
      <c r="AG59" s="10">
        <v>2562.5422800999995</v>
      </c>
      <c r="AH59" s="10">
        <v>85.668496689999984</v>
      </c>
      <c r="AI59" s="10">
        <v>783.02577774999702</v>
      </c>
    </row>
    <row r="60" spans="1:35" ht="15.75" x14ac:dyDescent="0.25">
      <c r="A60" t="s">
        <v>149</v>
      </c>
      <c r="B60" s="10">
        <v>91151.642762989999</v>
      </c>
      <c r="C60" s="10">
        <v>4805.8293375899993</v>
      </c>
      <c r="D60" s="10">
        <v>82085.135478080003</v>
      </c>
      <c r="E60" s="10">
        <v>32801.172303979998</v>
      </c>
      <c r="F60" s="10">
        <v>624.03501340999992</v>
      </c>
      <c r="G60" s="10">
        <v>25756.053671360001</v>
      </c>
      <c r="H60" s="10">
        <v>4796.9445676999994</v>
      </c>
      <c r="I60" s="10">
        <v>2879.6371715000005</v>
      </c>
      <c r="J60" s="10">
        <v>749.94955188999995</v>
      </c>
      <c r="K60" s="10">
        <v>821</v>
      </c>
      <c r="L60" s="10">
        <v>2376</v>
      </c>
      <c r="M60" s="10">
        <v>7078.6293815500003</v>
      </c>
      <c r="N60" s="10">
        <v>2151.7402596800002</v>
      </c>
      <c r="O60" s="10">
        <v>5346.1403814799996</v>
      </c>
      <c r="P60" s="10">
        <v>540.71374567999999</v>
      </c>
      <c r="Q60" s="10">
        <v>51.600229110000001</v>
      </c>
      <c r="R60" s="10">
        <v>3868.3086749999993</v>
      </c>
      <c r="S60" s="10" t="s">
        <v>69</v>
      </c>
      <c r="T60" s="10">
        <v>1492.4689694200001</v>
      </c>
      <c r="U60" s="10">
        <v>1276.30022199</v>
      </c>
      <c r="V60" s="10">
        <v>22064.665575570001</v>
      </c>
      <c r="W60" s="10">
        <v>9298.1419551799991</v>
      </c>
      <c r="X60" s="10">
        <v>187.30134838000001</v>
      </c>
      <c r="Y60" s="10">
        <v>7.50551E-3</v>
      </c>
      <c r="Z60" s="10">
        <v>2.8314525599999998</v>
      </c>
      <c r="AA60" s="10">
        <v>2388.8495208900003</v>
      </c>
      <c r="AB60" s="10">
        <v>128.36894133000001</v>
      </c>
      <c r="AC60" s="10">
        <v>45034.384744999988</v>
      </c>
      <c r="AD60" s="10">
        <v>67380.98017848999</v>
      </c>
      <c r="AE60" s="10">
        <v>22772.17882329</v>
      </c>
      <c r="AF60" s="10">
        <v>13383.888080030001</v>
      </c>
      <c r="AG60" s="10">
        <v>3020.9728673099999</v>
      </c>
      <c r="AH60" s="10">
        <v>84.062866700000001</v>
      </c>
      <c r="AI60" s="10">
        <v>253.82699821999893</v>
      </c>
    </row>
    <row r="61" spans="1:35" ht="15.75" x14ac:dyDescent="0.25">
      <c r="A61" t="s">
        <v>150</v>
      </c>
      <c r="B61" s="10">
        <v>99170.922397679999</v>
      </c>
      <c r="C61" s="10">
        <v>5061.7051512500002</v>
      </c>
      <c r="D61" s="10">
        <v>88201.983668290006</v>
      </c>
      <c r="E61" s="10">
        <v>34181.682348200004</v>
      </c>
      <c r="F61" s="10">
        <v>676.30336505000002</v>
      </c>
      <c r="G61" s="10">
        <v>27489.219626389997</v>
      </c>
      <c r="H61" s="10">
        <v>5714.7964144999996</v>
      </c>
      <c r="I61" s="10">
        <v>3445.8239124400006</v>
      </c>
      <c r="J61" s="10">
        <v>884.71916979999992</v>
      </c>
      <c r="K61" s="10">
        <v>1927.3</v>
      </c>
      <c r="L61" s="10">
        <v>1552</v>
      </c>
      <c r="M61" s="10">
        <v>5894.3893084299998</v>
      </c>
      <c r="N61" s="10">
        <v>2703.2265478999998</v>
      </c>
      <c r="O61" s="10">
        <v>5321.3482062999992</v>
      </c>
      <c r="P61" s="10">
        <v>576.5997367299999</v>
      </c>
      <c r="Q61" s="10">
        <v>45.821594529999999</v>
      </c>
      <c r="R61" s="10">
        <v>4103.7582857500001</v>
      </c>
      <c r="S61" s="10" t="s">
        <v>69</v>
      </c>
      <c r="T61" s="10">
        <v>1522.3407825100001</v>
      </c>
      <c r="U61" s="10">
        <v>1338.73040386</v>
      </c>
      <c r="V61" s="10">
        <v>13843.601013509999</v>
      </c>
      <c r="W61" s="10">
        <v>9943.608324320001</v>
      </c>
      <c r="X61" s="10">
        <v>194.77283076999998</v>
      </c>
      <c r="Y61" s="10">
        <v>1.4320290899999999</v>
      </c>
      <c r="Z61" s="10">
        <v>7.6771710400000011</v>
      </c>
      <c r="AA61" s="10">
        <v>2498.2556490399998</v>
      </c>
      <c r="AB61" s="10">
        <v>152.80185573999998</v>
      </c>
      <c r="AC61" s="10">
        <v>41619.362961179999</v>
      </c>
      <c r="AD61" s="10">
        <v>62075.846370899992</v>
      </c>
      <c r="AE61" s="10">
        <v>20897.634320910001</v>
      </c>
      <c r="AF61" s="10">
        <v>12482.387525230002</v>
      </c>
      <c r="AG61" s="10">
        <v>3182.77170854</v>
      </c>
      <c r="AH61" s="10">
        <v>78.331414780000017</v>
      </c>
      <c r="AI61" s="10">
        <v>-377.78362441000206</v>
      </c>
    </row>
    <row r="62" spans="1:35" ht="15.75" x14ac:dyDescent="0.25">
      <c r="A62" t="s">
        <v>151</v>
      </c>
      <c r="B62" s="10">
        <v>88795.215483280001</v>
      </c>
      <c r="C62" s="10">
        <v>6682.6000159300002</v>
      </c>
      <c r="D62" s="10">
        <v>90415.271536100001</v>
      </c>
      <c r="E62" s="10">
        <v>43065.536854530001</v>
      </c>
      <c r="F62" s="10">
        <v>618.55138136999994</v>
      </c>
      <c r="G62" s="10">
        <v>28252.861012339999</v>
      </c>
      <c r="H62" s="10">
        <v>5584.6796532699991</v>
      </c>
      <c r="I62" s="10">
        <v>3562.4973199699998</v>
      </c>
      <c r="J62" s="10">
        <v>865.24558410000009</v>
      </c>
      <c r="K62" s="10">
        <v>312</v>
      </c>
      <c r="L62" s="10">
        <v>2871</v>
      </c>
      <c r="M62" s="10">
        <v>6244.8656152800004</v>
      </c>
      <c r="N62" s="10">
        <v>2003.2862202900001</v>
      </c>
      <c r="O62" s="10">
        <v>3486.5341467199996</v>
      </c>
      <c r="P62" s="10">
        <v>589.75025014999994</v>
      </c>
      <c r="Q62" s="10">
        <v>46.237021890000001</v>
      </c>
      <c r="R62" s="10">
        <v>2241.77858616</v>
      </c>
      <c r="S62" s="10" t="s">
        <v>69</v>
      </c>
      <c r="T62" s="10">
        <v>1578.7519748300001</v>
      </c>
      <c r="U62" s="10">
        <v>1278.1217345499999</v>
      </c>
      <c r="V62" s="10">
        <v>14973.031541890001</v>
      </c>
      <c r="W62" s="10">
        <v>12295.47758264</v>
      </c>
      <c r="X62" s="10">
        <v>241.95360314000004</v>
      </c>
      <c r="Y62" s="10">
        <v>0.27443789000000002</v>
      </c>
      <c r="Z62" s="10">
        <v>6.3094005299999996</v>
      </c>
      <c r="AA62" s="10">
        <v>3165.1324846800003</v>
      </c>
      <c r="AB62" s="10">
        <v>152.44956897999998</v>
      </c>
      <c r="AC62" s="10">
        <v>49065.235174470006</v>
      </c>
      <c r="AD62" s="10">
        <v>74207.969839890007</v>
      </c>
      <c r="AE62" s="10">
        <v>26312.935267119996</v>
      </c>
      <c r="AF62" s="10">
        <v>15321.03424554</v>
      </c>
      <c r="AG62" s="10">
        <v>2881.80825826</v>
      </c>
      <c r="AH62" s="10">
        <v>85.415739280000011</v>
      </c>
      <c r="AI62" s="10">
        <v>2009.5717175199998</v>
      </c>
    </row>
    <row r="63" spans="1:35" ht="15.75" x14ac:dyDescent="0.25">
      <c r="A63" t="s">
        <v>152</v>
      </c>
      <c r="B63" s="10">
        <v>108715.77536331001</v>
      </c>
      <c r="C63" s="10">
        <v>7760.7519611700009</v>
      </c>
      <c r="D63" s="10">
        <v>97391.794893330007</v>
      </c>
      <c r="E63" s="10">
        <v>44851.781627460005</v>
      </c>
      <c r="F63" s="10">
        <v>783.15559581000014</v>
      </c>
      <c r="G63" s="10">
        <v>31878.524101379997</v>
      </c>
      <c r="H63" s="10">
        <v>6744.6014273599994</v>
      </c>
      <c r="I63" s="10">
        <v>2896.6489177200001</v>
      </c>
      <c r="J63" s="10">
        <v>919.35142412000005</v>
      </c>
      <c r="K63" s="10">
        <v>766</v>
      </c>
      <c r="L63" s="10">
        <v>5387</v>
      </c>
      <c r="M63" s="10">
        <v>7511.4662838800004</v>
      </c>
      <c r="N63" s="10">
        <v>3095.9445105499999</v>
      </c>
      <c r="O63" s="10">
        <v>7142.5015738799993</v>
      </c>
      <c r="P63" s="10">
        <v>632.18757774999995</v>
      </c>
      <c r="Q63" s="10">
        <v>42.494912640000003</v>
      </c>
      <c r="R63" s="10">
        <v>9955.3428955000018</v>
      </c>
      <c r="S63" s="10" t="s">
        <v>69</v>
      </c>
      <c r="T63" s="10">
        <v>1656.0331598500002</v>
      </c>
      <c r="U63" s="10">
        <v>1484.8186134600003</v>
      </c>
      <c r="V63" s="10">
        <v>25610.361056729998</v>
      </c>
      <c r="W63" s="10">
        <v>13747.577211430002</v>
      </c>
      <c r="X63" s="10">
        <v>261.71641968</v>
      </c>
      <c r="Y63" s="10">
        <v>0.13223734000000001</v>
      </c>
      <c r="Z63" s="10">
        <v>4.6813819400000005</v>
      </c>
      <c r="AA63" s="10">
        <v>3402.3845196999991</v>
      </c>
      <c r="AB63" s="10">
        <v>179.68913551</v>
      </c>
      <c r="AC63" s="10">
        <v>49935.565862459996</v>
      </c>
      <c r="AD63" s="10">
        <v>76876.711020759991</v>
      </c>
      <c r="AE63" s="10">
        <v>24432.180437119998</v>
      </c>
      <c r="AF63" s="10">
        <v>14442.869363420003</v>
      </c>
      <c r="AG63" s="10">
        <v>3397.6801870400004</v>
      </c>
      <c r="AH63" s="10">
        <v>100.79752988999999</v>
      </c>
      <c r="AI63" s="10">
        <v>2073.2941831700027</v>
      </c>
    </row>
    <row r="64" spans="1:35" ht="15.75" x14ac:dyDescent="0.25">
      <c r="A64" t="s">
        <v>153</v>
      </c>
      <c r="B64" s="10">
        <v>98005.403026829998</v>
      </c>
      <c r="C64" s="10">
        <v>7321.0190660600001</v>
      </c>
      <c r="D64" s="10">
        <v>106364.45579076</v>
      </c>
      <c r="E64" s="10">
        <v>47472.415161700002</v>
      </c>
      <c r="F64" s="10">
        <v>1005.48728285</v>
      </c>
      <c r="G64" s="10">
        <v>34881.177171119998</v>
      </c>
      <c r="H64" s="10">
        <v>9470.9486395900003</v>
      </c>
      <c r="I64" s="10">
        <v>3779.3062689099997</v>
      </c>
      <c r="J64" s="10">
        <v>1154.0676650600001</v>
      </c>
      <c r="K64" s="10">
        <v>1482</v>
      </c>
      <c r="L64" s="10">
        <v>3342</v>
      </c>
      <c r="M64" s="10">
        <v>9627.7473502400007</v>
      </c>
      <c r="N64" s="10">
        <v>3655.0361207999999</v>
      </c>
      <c r="O64" s="10">
        <v>8366.8938062500001</v>
      </c>
      <c r="P64" s="10">
        <v>925.74656398000013</v>
      </c>
      <c r="Q64" s="10">
        <v>43.457746109999995</v>
      </c>
      <c r="R64" s="10">
        <v>3970.1795759199999</v>
      </c>
      <c r="S64" s="10" t="s">
        <v>69</v>
      </c>
      <c r="T64" s="10">
        <v>1790.6269326000001</v>
      </c>
      <c r="U64" s="10">
        <v>2262.3055129700001</v>
      </c>
      <c r="V64" s="10">
        <v>17260.703805369998</v>
      </c>
      <c r="W64" s="10">
        <v>14932.404779150002</v>
      </c>
      <c r="X64" s="10">
        <v>278.46114538999996</v>
      </c>
      <c r="Y64" s="10">
        <v>0.24523576999999999</v>
      </c>
      <c r="Z64" s="10">
        <v>11.3876472</v>
      </c>
      <c r="AA64" s="10">
        <v>3616.5528158100005</v>
      </c>
      <c r="AB64" s="10">
        <v>195.09774606000002</v>
      </c>
      <c r="AC64" s="10">
        <v>58137.21792802</v>
      </c>
      <c r="AD64" s="10">
        <v>88677.931935749992</v>
      </c>
      <c r="AE64" s="10">
        <v>29945.14516303</v>
      </c>
      <c r="AF64" s="10">
        <v>17441.758396720001</v>
      </c>
      <c r="AG64" s="10">
        <v>3867.8040626699994</v>
      </c>
      <c r="AH64" s="10">
        <v>135.07575688</v>
      </c>
      <c r="AI64" s="10">
        <v>189.79518781000058</v>
      </c>
    </row>
    <row r="65" spans="1:35" ht="15.75" x14ac:dyDescent="0.25">
      <c r="A65" t="s">
        <v>154</v>
      </c>
      <c r="B65" s="10">
        <v>108833.57411536</v>
      </c>
      <c r="C65" s="10">
        <v>6792.8150022399996</v>
      </c>
      <c r="D65" s="10">
        <v>111948.30394966</v>
      </c>
      <c r="E65" s="10">
        <v>47639.376532130002</v>
      </c>
      <c r="F65" s="10">
        <v>839.13777736999987</v>
      </c>
      <c r="G65" s="10">
        <v>36656.516697750005</v>
      </c>
      <c r="H65" s="10">
        <v>10855.188603630002</v>
      </c>
      <c r="I65" s="10">
        <v>4097.5694945200003</v>
      </c>
      <c r="J65" s="10">
        <v>1299.1789812799998</v>
      </c>
      <c r="K65" s="10">
        <v>3372</v>
      </c>
      <c r="L65" s="10">
        <v>3383</v>
      </c>
      <c r="M65" s="10">
        <v>8739.3699989300003</v>
      </c>
      <c r="N65" s="10">
        <v>4489.0493038700006</v>
      </c>
      <c r="O65" s="10">
        <v>7849.9225285400007</v>
      </c>
      <c r="P65" s="10">
        <v>1116.16353658</v>
      </c>
      <c r="Q65" s="10">
        <v>55.313428209999998</v>
      </c>
      <c r="R65" s="10">
        <v>3373.4230748099999</v>
      </c>
      <c r="S65" s="10" t="s">
        <v>69</v>
      </c>
      <c r="T65" s="10">
        <v>1847.6256937799997</v>
      </c>
      <c r="U65" s="10">
        <v>108290.23531121999</v>
      </c>
      <c r="V65" s="10">
        <v>13665.03077856</v>
      </c>
      <c r="W65" s="10">
        <v>14329.673963130001</v>
      </c>
      <c r="X65" s="10">
        <v>277.38431754999999</v>
      </c>
      <c r="Y65" s="10">
        <v>0.22252887999999998</v>
      </c>
      <c r="Z65" s="10">
        <v>16.111900599999998</v>
      </c>
      <c r="AA65" s="10">
        <v>3663.0098945899999</v>
      </c>
      <c r="AB65" s="10">
        <v>175.88424091000002</v>
      </c>
      <c r="AC65" s="10">
        <v>55605.427368910001</v>
      </c>
      <c r="AD65" s="10">
        <v>84472.158810420005</v>
      </c>
      <c r="AE65" s="10">
        <v>27975.480790809997</v>
      </c>
      <c r="AF65" s="10">
        <v>16605.240825180001</v>
      </c>
      <c r="AG65" s="10">
        <v>3892.5094010800003</v>
      </c>
      <c r="AH65" s="10">
        <v>137.34693403000003</v>
      </c>
      <c r="AI65" s="10">
        <v>-320.85836713999834</v>
      </c>
    </row>
    <row r="66" spans="1:35" ht="15.75" x14ac:dyDescent="0.25">
      <c r="A66" t="s">
        <v>155</v>
      </c>
      <c r="B66" s="10">
        <v>105004.03608928001</v>
      </c>
      <c r="C66" s="10">
        <v>6788.3373591899999</v>
      </c>
      <c r="D66" s="10">
        <v>120939.78596261</v>
      </c>
      <c r="E66" s="10">
        <v>49969.723377189999</v>
      </c>
      <c r="F66" s="10">
        <v>648.81300573999999</v>
      </c>
      <c r="G66" s="10">
        <v>38139.789837299999</v>
      </c>
      <c r="H66" s="10">
        <v>11426.131035560002</v>
      </c>
      <c r="I66" s="10">
        <v>4745.9237004900006</v>
      </c>
      <c r="J66" s="10">
        <v>1369.3732093499998</v>
      </c>
      <c r="K66" s="10">
        <v>5836</v>
      </c>
      <c r="L66" s="10">
        <v>4253.0965089800002</v>
      </c>
      <c r="M66" s="10">
        <v>8988.5501328000009</v>
      </c>
      <c r="N66" s="10">
        <v>3334.6874240099996</v>
      </c>
      <c r="O66" s="10">
        <v>4325.2796511699999</v>
      </c>
      <c r="P66" s="10">
        <v>765.04536776999976</v>
      </c>
      <c r="Q66" s="10">
        <v>50.975661829999993</v>
      </c>
      <c r="R66" s="10">
        <v>2155.2592205700003</v>
      </c>
      <c r="S66" s="10" t="s">
        <v>69</v>
      </c>
      <c r="T66" s="10">
        <v>2198.9920568799998</v>
      </c>
      <c r="U66" s="10">
        <v>39007.988130520003</v>
      </c>
      <c r="V66" s="10">
        <v>13312.60875533</v>
      </c>
      <c r="W66" s="10">
        <v>14654.450255300002</v>
      </c>
      <c r="X66" s="10">
        <v>278.78690869000002</v>
      </c>
      <c r="Y66" s="10">
        <v>1.0576469999999999E-2</v>
      </c>
      <c r="Z66" s="10">
        <v>0.5109960400000001</v>
      </c>
      <c r="AA66" s="10">
        <v>3785.5460100999999</v>
      </c>
      <c r="AB66" s="10">
        <v>166.42448322000001</v>
      </c>
      <c r="AC66" s="10">
        <v>66984.441132580003</v>
      </c>
      <c r="AD66" s="10">
        <v>102135.34516085</v>
      </c>
      <c r="AE66" s="10">
        <v>35029.559428640001</v>
      </c>
      <c r="AF66" s="10">
        <v>20425.56198404</v>
      </c>
      <c r="AG66" s="10">
        <v>4599.80051129</v>
      </c>
      <c r="AH66" s="10">
        <v>135.80101449999998</v>
      </c>
      <c r="AI66" s="10">
        <v>8831.7678810300004</v>
      </c>
    </row>
    <row r="67" spans="1:35" ht="15.75" x14ac:dyDescent="0.25">
      <c r="A67" t="s">
        <v>156</v>
      </c>
      <c r="B67" s="10">
        <v>135491.55510877</v>
      </c>
      <c r="C67" s="10">
        <v>8509.4840190100003</v>
      </c>
      <c r="D67" s="10">
        <v>129234.04274571</v>
      </c>
      <c r="E67" s="10">
        <v>56209.62971713001</v>
      </c>
      <c r="F67" s="10">
        <v>1154.4221858799999</v>
      </c>
      <c r="G67" s="10">
        <v>40400.308881690005</v>
      </c>
      <c r="H67" s="10">
        <v>11019.982478530001</v>
      </c>
      <c r="I67" s="10">
        <v>4911.1126665499996</v>
      </c>
      <c r="J67" s="10">
        <v>1366.6527764099999</v>
      </c>
      <c r="K67" s="10">
        <v>3500</v>
      </c>
      <c r="L67" s="10">
        <v>6300</v>
      </c>
      <c r="M67" s="10">
        <v>13017.13852796</v>
      </c>
      <c r="N67" s="10">
        <v>6139.5042766500001</v>
      </c>
      <c r="O67" s="10">
        <v>9497.2083326299999</v>
      </c>
      <c r="P67" s="10">
        <v>961.6203215999999</v>
      </c>
      <c r="Q67" s="10">
        <v>47.579561600000005</v>
      </c>
      <c r="R67" s="10">
        <v>6539.5410207499999</v>
      </c>
      <c r="S67" s="10" t="s">
        <v>69</v>
      </c>
      <c r="T67" s="10">
        <v>2449.0185286599999</v>
      </c>
      <c r="U67" s="10">
        <v>6809.3782358999988</v>
      </c>
      <c r="V67" s="10">
        <v>21312.244113519999</v>
      </c>
      <c r="W67" s="10">
        <v>15576.517858670002</v>
      </c>
      <c r="X67" s="10">
        <v>311.17587157000003</v>
      </c>
      <c r="Y67" s="10">
        <v>1.033398E-2</v>
      </c>
      <c r="Z67" s="10">
        <v>0.9467715499999998</v>
      </c>
      <c r="AA67" s="10">
        <v>4543.4821319599996</v>
      </c>
      <c r="AB67" s="10">
        <v>212.01476234</v>
      </c>
      <c r="AC67" s="10">
        <v>64031.092587460007</v>
      </c>
      <c r="AD67" s="10">
        <v>99713.828071839976</v>
      </c>
      <c r="AE67" s="10">
        <v>32148.052105119998</v>
      </c>
      <c r="AF67" s="10">
        <v>18333.744803130001</v>
      </c>
      <c r="AG67" s="10">
        <v>5120.3990152599999</v>
      </c>
      <c r="AH67" s="10">
        <v>180.71897698000001</v>
      </c>
      <c r="AI67" s="10">
        <v>-4765.9896044900006</v>
      </c>
    </row>
    <row r="68" spans="1:35" ht="15.75" x14ac:dyDescent="0.25">
      <c r="A68" t="s">
        <v>157</v>
      </c>
      <c r="B68" s="10">
        <v>140175.86585296001</v>
      </c>
      <c r="C68" s="10">
        <v>9780.6891259700005</v>
      </c>
      <c r="D68" s="10">
        <v>140870.68931672</v>
      </c>
      <c r="E68" s="10">
        <v>66954.410557180003</v>
      </c>
      <c r="F68" s="10">
        <v>417.57281669999998</v>
      </c>
      <c r="G68" s="10">
        <v>46231.079506200003</v>
      </c>
      <c r="H68" s="10">
        <v>11699.770608450002</v>
      </c>
      <c r="I68" s="10">
        <v>6112.5568099299999</v>
      </c>
      <c r="J68" s="10">
        <v>1438.70999794</v>
      </c>
      <c r="K68" s="10">
        <v>5180</v>
      </c>
      <c r="L68" s="10">
        <v>7300</v>
      </c>
      <c r="M68" s="10">
        <v>11917.342701779999</v>
      </c>
      <c r="N68" s="10">
        <v>5351.3686504199995</v>
      </c>
      <c r="O68" s="10">
        <v>8282.8565294300006</v>
      </c>
      <c r="P68" s="10">
        <v>937.31397728999991</v>
      </c>
      <c r="Q68" s="10">
        <v>55.45846573</v>
      </c>
      <c r="R68" s="10">
        <v>7812.4112076299998</v>
      </c>
      <c r="S68" s="10" t="s">
        <v>69</v>
      </c>
      <c r="T68" s="10">
        <v>2716.45613155</v>
      </c>
      <c r="U68" s="10">
        <v>2778.6627022900002</v>
      </c>
      <c r="V68" s="10">
        <v>19457.3888898</v>
      </c>
      <c r="W68" s="10">
        <v>19582.965199760001</v>
      </c>
      <c r="X68" s="10">
        <v>391.56770026999993</v>
      </c>
      <c r="Y68" s="10">
        <v>1.127659E-2</v>
      </c>
      <c r="Z68" s="10">
        <v>4.6865928699999984</v>
      </c>
      <c r="AA68" s="10">
        <v>5639.0169630100008</v>
      </c>
      <c r="AB68" s="10">
        <v>180.69579854</v>
      </c>
      <c r="AC68" s="10">
        <v>75315.782990410007</v>
      </c>
      <c r="AD68" s="10">
        <v>113220.38678290998</v>
      </c>
      <c r="AE68" s="10">
        <v>38898.729733070002</v>
      </c>
      <c r="AF68" s="10">
        <v>21744.27785911</v>
      </c>
      <c r="AG68" s="10">
        <v>5246.93955319</v>
      </c>
      <c r="AH68" s="10">
        <v>182.91905825000001</v>
      </c>
      <c r="AI68" s="10">
        <v>3635.5030570100021</v>
      </c>
    </row>
    <row r="69" spans="1:35" ht="15.75" x14ac:dyDescent="0.25">
      <c r="A69" t="s">
        <v>158</v>
      </c>
      <c r="B69" s="10">
        <v>139435.73617244</v>
      </c>
      <c r="C69" s="10">
        <v>9837.2688144999993</v>
      </c>
      <c r="D69" s="10">
        <v>151070.28086328</v>
      </c>
      <c r="E69" s="10">
        <v>70593.724331229998</v>
      </c>
      <c r="F69" s="10">
        <v>339.66098770000002</v>
      </c>
      <c r="G69" s="10">
        <v>48067.304017900002</v>
      </c>
      <c r="H69" s="10">
        <v>12655.405500530002</v>
      </c>
      <c r="I69" s="10">
        <v>6414.4540447000008</v>
      </c>
      <c r="J69" s="10">
        <v>1575.7439432900001</v>
      </c>
      <c r="K69" s="10">
        <v>5990</v>
      </c>
      <c r="L69" s="10">
        <v>7100</v>
      </c>
      <c r="M69" s="10">
        <v>12668.027298180001</v>
      </c>
      <c r="N69" s="10">
        <v>5420.2111298899999</v>
      </c>
      <c r="O69" s="10">
        <v>9882.4356087699998</v>
      </c>
      <c r="P69" s="10">
        <v>1151.3898042599999</v>
      </c>
      <c r="Q69" s="10">
        <v>51.601791950000006</v>
      </c>
      <c r="R69" s="10">
        <v>5657.9234012500001</v>
      </c>
      <c r="S69" s="10" t="s">
        <v>69</v>
      </c>
      <c r="T69" s="10">
        <v>3179.5782983499998</v>
      </c>
      <c r="U69" s="10">
        <v>3503.1876011699997</v>
      </c>
      <c r="V69" s="10">
        <v>12039.157357170001</v>
      </c>
      <c r="W69" s="10">
        <v>19445.19267833</v>
      </c>
      <c r="X69" s="10">
        <v>394.52944829</v>
      </c>
      <c r="Y69" s="10">
        <v>1.6035319999999999E-2</v>
      </c>
      <c r="Z69" s="10">
        <v>1.0782434400000001</v>
      </c>
      <c r="AA69" s="10">
        <v>5769.8266702499996</v>
      </c>
      <c r="AB69" s="10">
        <v>177.27283515000002</v>
      </c>
      <c r="AC69" s="10">
        <v>72854.466640930012</v>
      </c>
      <c r="AD69" s="10">
        <v>109198.63339785</v>
      </c>
      <c r="AE69" s="10">
        <v>35926.704091910011</v>
      </c>
      <c r="AF69" s="10">
        <v>19864.746643009999</v>
      </c>
      <c r="AG69" s="10">
        <v>5125.3963333500005</v>
      </c>
      <c r="AH69" s="10">
        <v>183.29982829999997</v>
      </c>
      <c r="AI69" s="10">
        <v>-2518.2239361200022</v>
      </c>
    </row>
    <row r="70" spans="1:35" ht="15.75" x14ac:dyDescent="0.25">
      <c r="A70" t="s">
        <v>159</v>
      </c>
      <c r="B70" s="10">
        <v>132194.17298512001</v>
      </c>
      <c r="C70" s="10">
        <v>10704.788858989999</v>
      </c>
      <c r="D70" s="10">
        <v>175125.14634695998</v>
      </c>
      <c r="E70" s="10">
        <v>72967.376152050012</v>
      </c>
      <c r="F70" s="10">
        <v>307.7109615</v>
      </c>
      <c r="G70" s="10">
        <v>49561.703648000002</v>
      </c>
      <c r="H70" s="10">
        <v>12706.026346440001</v>
      </c>
      <c r="I70" s="10">
        <v>5906.7345798999995</v>
      </c>
      <c r="J70" s="10">
        <v>1585.23939823</v>
      </c>
      <c r="K70" s="10">
        <v>5450</v>
      </c>
      <c r="L70" s="10">
        <v>5000</v>
      </c>
      <c r="M70" s="10">
        <v>11257.69447688</v>
      </c>
      <c r="N70" s="10">
        <v>3621.8669825900001</v>
      </c>
      <c r="O70" s="10">
        <v>3794.6380064400005</v>
      </c>
      <c r="P70" s="10">
        <v>515.77469886999995</v>
      </c>
      <c r="Q70" s="10">
        <v>744.99914991000014</v>
      </c>
      <c r="R70" s="10">
        <v>3102.8264936099999</v>
      </c>
      <c r="S70" s="10" t="s">
        <v>69</v>
      </c>
      <c r="T70" s="10">
        <v>3787.0545681800004</v>
      </c>
      <c r="U70" s="10">
        <v>3350.5451965499997</v>
      </c>
      <c r="V70" s="10">
        <v>12330.88261694</v>
      </c>
      <c r="W70" s="10">
        <v>21337.748879549996</v>
      </c>
      <c r="X70" s="10">
        <v>422.40042897000001</v>
      </c>
      <c r="Y70" s="10">
        <v>1.8696000000000001E-4</v>
      </c>
      <c r="Z70" s="10">
        <v>1.87270208</v>
      </c>
      <c r="AA70" s="10">
        <v>5939.61581234</v>
      </c>
      <c r="AB70" s="10">
        <v>198.98834159999996</v>
      </c>
      <c r="AC70" s="10">
        <v>86221.89913142001</v>
      </c>
      <c r="AD70" s="10">
        <v>130899.46575589999</v>
      </c>
      <c r="AE70" s="10">
        <v>44494.309255029999</v>
      </c>
      <c r="AF70" s="10">
        <v>23413.332946340004</v>
      </c>
      <c r="AG70" s="10">
        <v>6118.0254581400004</v>
      </c>
      <c r="AH70" s="10">
        <v>183.86353729999999</v>
      </c>
      <c r="AI70" s="10">
        <v>2083.0554520100086</v>
      </c>
    </row>
    <row r="71" spans="1:35" ht="15.75" x14ac:dyDescent="0.25">
      <c r="A71" t="s">
        <v>160</v>
      </c>
      <c r="B71" s="10">
        <v>195330.16509564</v>
      </c>
      <c r="C71" s="10">
        <v>13030.2828529</v>
      </c>
      <c r="D71" s="10">
        <v>178934.45812774001</v>
      </c>
      <c r="E71" s="10">
        <v>87248.731924349995</v>
      </c>
      <c r="F71" s="10">
        <v>992.6216148000002</v>
      </c>
      <c r="G71" s="10">
        <v>54517.939753180006</v>
      </c>
      <c r="H71" s="10">
        <v>12317.581838850001</v>
      </c>
      <c r="I71" s="10">
        <v>6760.8907302799998</v>
      </c>
      <c r="J71" s="10">
        <v>1627.7088609900002</v>
      </c>
      <c r="K71" s="10">
        <v>4150</v>
      </c>
      <c r="L71" s="10">
        <v>9250</v>
      </c>
      <c r="M71" s="10">
        <v>17320.459360830002</v>
      </c>
      <c r="N71" s="10">
        <v>11747.90225277</v>
      </c>
      <c r="O71" s="10">
        <v>-3.7392000000000002E-4</v>
      </c>
      <c r="P71" s="10">
        <v>-4.9007999999999994E-4</v>
      </c>
      <c r="Q71" s="10">
        <v>1043.7519469099998</v>
      </c>
      <c r="R71" s="10">
        <v>4728.3011017600002</v>
      </c>
      <c r="S71" s="10" t="s">
        <v>69</v>
      </c>
      <c r="T71" s="10">
        <v>3791.3211387000001</v>
      </c>
      <c r="U71" s="10">
        <v>3866.5011168399997</v>
      </c>
      <c r="V71" s="10">
        <v>30349.529688909999</v>
      </c>
      <c r="W71" s="10">
        <v>24474.074951770002</v>
      </c>
      <c r="X71" s="10">
        <v>492.74177963999989</v>
      </c>
      <c r="Y71" s="10">
        <v>8.3693000000000005E-4</v>
      </c>
      <c r="Z71" s="10">
        <v>1.4017080500000001</v>
      </c>
      <c r="AA71" s="10">
        <v>6991.1301531299996</v>
      </c>
      <c r="AB71" s="10">
        <v>242.51008451999996</v>
      </c>
      <c r="AC71" s="10">
        <v>82607.744571479983</v>
      </c>
      <c r="AD71" s="10">
        <v>123793.89448117999</v>
      </c>
      <c r="AE71" s="10">
        <v>40751.096582220001</v>
      </c>
      <c r="AF71" s="10">
        <v>21343.43820506</v>
      </c>
      <c r="AG71" s="10">
        <v>6724.697415669998</v>
      </c>
      <c r="AH71" s="10">
        <v>225.62391541999995</v>
      </c>
      <c r="AI71" s="10">
        <v>-11120.933135240002</v>
      </c>
    </row>
    <row r="72" spans="1:35" ht="15.75" x14ac:dyDescent="0.25">
      <c r="A72" t="s">
        <v>161</v>
      </c>
      <c r="B72" s="10">
        <v>173108.98798595002</v>
      </c>
      <c r="C72" s="10">
        <v>14692.994605160002</v>
      </c>
      <c r="D72" s="10">
        <v>188912.95130824001</v>
      </c>
      <c r="E72" s="10">
        <v>110527.23443452999</v>
      </c>
      <c r="F72" s="10">
        <v>424.46032473999992</v>
      </c>
      <c r="G72" s="10">
        <v>61752.416053720008</v>
      </c>
      <c r="H72" s="10">
        <v>11989.788663549998</v>
      </c>
      <c r="I72" s="10">
        <v>5224.53364719</v>
      </c>
      <c r="J72" s="10">
        <v>1670.1290712800001</v>
      </c>
      <c r="K72" s="10">
        <v>6300</v>
      </c>
      <c r="L72" s="10">
        <v>11150</v>
      </c>
      <c r="M72" s="10">
        <v>19107.011472599999</v>
      </c>
      <c r="N72" s="10">
        <v>11817.30436826</v>
      </c>
      <c r="O72" s="10">
        <v>-4.5118999999999997E-4</v>
      </c>
      <c r="P72" s="10">
        <v>-3.7392000000000002E-4</v>
      </c>
      <c r="Q72" s="10">
        <v>1604.9491672499998</v>
      </c>
      <c r="R72" s="10">
        <v>3752.8634256400001</v>
      </c>
      <c r="S72" s="10" t="s">
        <v>69</v>
      </c>
      <c r="T72" s="10">
        <v>4221.7249520600008</v>
      </c>
      <c r="U72" s="10">
        <v>3869.2618456499995</v>
      </c>
      <c r="V72" s="10">
        <v>26920.105109</v>
      </c>
      <c r="W72" s="10">
        <v>30802.265756749999</v>
      </c>
      <c r="X72" s="10">
        <v>639.2595114799999</v>
      </c>
      <c r="Y72" s="10">
        <v>2.0299000000000001E-4</v>
      </c>
      <c r="Z72" s="10">
        <v>0.96645972000000002</v>
      </c>
      <c r="AA72" s="10">
        <v>8307.3954444799983</v>
      </c>
      <c r="AB72" s="10">
        <v>287.51842518000001</v>
      </c>
      <c r="AC72" s="10">
        <v>93031.262972310011</v>
      </c>
      <c r="AD72" s="10">
        <v>137070.39352732999</v>
      </c>
      <c r="AE72" s="10">
        <v>48468.164056050002</v>
      </c>
      <c r="AF72" s="10">
        <v>24773.439474180002</v>
      </c>
      <c r="AG72" s="10">
        <v>6801.0983413799986</v>
      </c>
      <c r="AH72" s="10">
        <v>226.02979403000001</v>
      </c>
      <c r="AI72" s="10">
        <v>223.55747780000252</v>
      </c>
    </row>
    <row r="73" spans="1:35" ht="15.75" x14ac:dyDescent="0.25">
      <c r="A73" t="s">
        <v>162</v>
      </c>
      <c r="B73" s="10">
        <v>188867.01415913997</v>
      </c>
      <c r="C73" s="10">
        <v>14123.979198899999</v>
      </c>
      <c r="D73" s="10">
        <v>224746.71906207001</v>
      </c>
      <c r="E73" s="10">
        <v>89517.672418160015</v>
      </c>
      <c r="F73" s="10">
        <v>329.97564389999997</v>
      </c>
      <c r="G73" s="10">
        <v>68467.875519880006</v>
      </c>
      <c r="H73" s="10">
        <v>14333.783846049999</v>
      </c>
      <c r="I73" s="10">
        <v>6084.4853754999995</v>
      </c>
      <c r="J73" s="10">
        <v>1930.5041834599999</v>
      </c>
      <c r="K73" s="10">
        <v>7500</v>
      </c>
      <c r="L73" s="10">
        <v>9200</v>
      </c>
      <c r="M73" s="10">
        <v>16656.790485720001</v>
      </c>
      <c r="N73" s="10">
        <v>13414.641912569999</v>
      </c>
      <c r="O73" s="10">
        <v>-3.7392000000000002E-4</v>
      </c>
      <c r="P73" s="10">
        <v>-3.7392000000000002E-4</v>
      </c>
      <c r="Q73" s="10">
        <v>2027.6999916199998</v>
      </c>
      <c r="R73" s="10">
        <v>2933.1627906499998</v>
      </c>
      <c r="S73" s="10" t="s">
        <v>69</v>
      </c>
      <c r="T73" s="10">
        <v>4252.2071300799998</v>
      </c>
      <c r="U73" s="10">
        <v>3929.1416872300006</v>
      </c>
      <c r="V73" s="10">
        <v>44559.839477679998</v>
      </c>
      <c r="W73" s="10">
        <v>28376.66087919</v>
      </c>
      <c r="X73" s="10">
        <v>632.91017037999995</v>
      </c>
      <c r="Y73" s="10">
        <v>2.7323000000000001E-4</v>
      </c>
      <c r="Z73" s="10">
        <v>1.3703607499999992</v>
      </c>
      <c r="AA73" s="10">
        <v>7496.9256941700005</v>
      </c>
      <c r="AB73" s="10">
        <v>296.35971546000002</v>
      </c>
      <c r="AC73" s="10">
        <v>90489.321303829987</v>
      </c>
      <c r="AD73" s="10">
        <v>134941.08631138998</v>
      </c>
      <c r="AE73" s="10">
        <v>45570.491559880007</v>
      </c>
      <c r="AF73" s="10">
        <v>23327.185221060001</v>
      </c>
      <c r="AG73" s="10">
        <v>6744.6203521199986</v>
      </c>
      <c r="AH73" s="10">
        <v>226.08928060999997</v>
      </c>
      <c r="AI73" s="10">
        <v>153.97630683000142</v>
      </c>
    </row>
    <row r="74" spans="1:35" ht="15.75" x14ac:dyDescent="0.25">
      <c r="A74" t="s">
        <v>163</v>
      </c>
      <c r="B74" s="10">
        <v>188052.13350472998</v>
      </c>
      <c r="C74" s="10">
        <v>13379.01440353</v>
      </c>
      <c r="D74" s="10">
        <v>253948.06848525003</v>
      </c>
      <c r="E74" s="10">
        <v>78023.093547290002</v>
      </c>
      <c r="F74" s="10">
        <v>173.86025018000004</v>
      </c>
      <c r="G74" s="10">
        <v>71516.847542250005</v>
      </c>
      <c r="H74" s="10">
        <v>16177.25675843</v>
      </c>
      <c r="I74" s="10">
        <v>5086.1215428399992</v>
      </c>
      <c r="J74" s="10">
        <v>2052.1109718900002</v>
      </c>
      <c r="K74" s="10">
        <v>5050</v>
      </c>
      <c r="L74" s="10">
        <v>5620</v>
      </c>
      <c r="M74" s="10">
        <v>19793.631536960002</v>
      </c>
      <c r="N74" s="10">
        <v>10906.6860834</v>
      </c>
      <c r="O74" s="10">
        <v>-2.4928E-4</v>
      </c>
      <c r="P74" s="10">
        <v>-3.7392000000000002E-4</v>
      </c>
      <c r="Q74" s="10">
        <v>1529.5057123600002</v>
      </c>
      <c r="R74" s="10">
        <v>1931.8301988100002</v>
      </c>
      <c r="S74" s="10" t="s">
        <v>69</v>
      </c>
      <c r="T74" s="10">
        <v>4915.7662805200016</v>
      </c>
      <c r="U74" s="10">
        <v>3593.61997746</v>
      </c>
      <c r="V74" s="10">
        <v>51331.361924910001</v>
      </c>
      <c r="W74" s="10">
        <v>26403.347881540005</v>
      </c>
      <c r="X74" s="10">
        <v>588.32063665999999</v>
      </c>
      <c r="Y74" s="10">
        <v>0.48676340000000007</v>
      </c>
      <c r="Z74" s="10">
        <v>2.0774889000000005</v>
      </c>
      <c r="AA74" s="10">
        <v>6965.2555658399988</v>
      </c>
      <c r="AB74" s="10">
        <v>282.55867049999995</v>
      </c>
      <c r="AC74" s="10">
        <v>112402.84523765001</v>
      </c>
      <c r="AD74" s="10">
        <v>167504.60745855997</v>
      </c>
      <c r="AE74" s="10">
        <v>58484.923065909999</v>
      </c>
      <c r="AF74" s="10">
        <v>29167.74385065</v>
      </c>
      <c r="AG74" s="10">
        <v>8394.8893488499998</v>
      </c>
      <c r="AH74" s="10">
        <v>225.64839445000001</v>
      </c>
      <c r="AI74" s="10">
        <v>3571.5057628699979</v>
      </c>
    </row>
    <row r="75" spans="1:35" ht="15.75" x14ac:dyDescent="0.25">
      <c r="A75" t="s">
        <v>164</v>
      </c>
      <c r="B75" s="10">
        <v>321713.89453563001</v>
      </c>
      <c r="C75" s="10">
        <v>16979.02006508</v>
      </c>
      <c r="D75" s="10">
        <v>266494.42366094003</v>
      </c>
      <c r="E75" s="10">
        <v>115386.86529309</v>
      </c>
      <c r="F75" s="10">
        <v>1154.9078641399999</v>
      </c>
      <c r="G75" s="10">
        <v>79722.098475959996</v>
      </c>
      <c r="H75" s="10">
        <v>16385.679349620001</v>
      </c>
      <c r="I75" s="10">
        <v>4228.7503371700004</v>
      </c>
      <c r="J75" s="10">
        <v>2123.53573895</v>
      </c>
      <c r="K75" s="10">
        <v>11100</v>
      </c>
      <c r="L75" s="10">
        <v>10400</v>
      </c>
      <c r="M75" s="10">
        <v>20301.317619760001</v>
      </c>
      <c r="N75" s="10">
        <v>12502.57305572</v>
      </c>
      <c r="O75" s="10">
        <v>5.3516900000000001E-3</v>
      </c>
      <c r="P75" s="10">
        <v>-3.7392000000000002E-4</v>
      </c>
      <c r="Q75" s="10">
        <v>1761.9197294000001</v>
      </c>
      <c r="R75" s="10">
        <v>8093.5632808400005</v>
      </c>
      <c r="S75" s="10" t="s">
        <v>69</v>
      </c>
      <c r="T75" s="10">
        <v>5069.1273236100005</v>
      </c>
      <c r="U75" s="10">
        <v>4406.5157705399997</v>
      </c>
      <c r="V75" s="10">
        <v>90468.388139369999</v>
      </c>
      <c r="W75" s="10">
        <v>29513.605513380004</v>
      </c>
      <c r="X75" s="10">
        <v>6433.8718780500003</v>
      </c>
      <c r="Y75" s="10">
        <v>3.419556E-2</v>
      </c>
      <c r="Z75" s="10">
        <v>5.56465035</v>
      </c>
      <c r="AA75" s="10">
        <v>8766.1627775900015</v>
      </c>
      <c r="AB75" s="10">
        <v>260.82689188999996</v>
      </c>
      <c r="AC75" s="10">
        <v>111803.68355717001</v>
      </c>
      <c r="AD75" s="10">
        <v>162776.84333371001</v>
      </c>
      <c r="AE75" s="10">
        <v>56097.315270469997</v>
      </c>
      <c r="AF75" s="10">
        <v>27730.370879549999</v>
      </c>
      <c r="AG75" s="10">
        <v>8376.732683709999</v>
      </c>
      <c r="AH75" s="10">
        <v>275.43909467999998</v>
      </c>
      <c r="AI75" s="10">
        <v>1070.7378858200188</v>
      </c>
    </row>
    <row r="76" spans="1:35" ht="15.75" x14ac:dyDescent="0.25">
      <c r="A76" t="s">
        <v>165</v>
      </c>
      <c r="B76" s="10">
        <v>265122.06247389002</v>
      </c>
      <c r="C76" s="10">
        <v>20255.218995539999</v>
      </c>
      <c r="D76" s="10">
        <v>276239.10719710001</v>
      </c>
      <c r="E76" s="10">
        <v>147189.92970375001</v>
      </c>
      <c r="F76" s="10">
        <v>302.89549850000003</v>
      </c>
      <c r="G76" s="10">
        <v>92685.083484939998</v>
      </c>
      <c r="H76" s="10">
        <v>16913.917780870004</v>
      </c>
      <c r="I76" s="10">
        <v>5204.7571528700009</v>
      </c>
      <c r="J76" s="10">
        <v>2331.0483959600001</v>
      </c>
      <c r="K76" s="10">
        <v>11850</v>
      </c>
      <c r="L76" s="10">
        <v>5550</v>
      </c>
      <c r="M76" s="10">
        <v>23315.590874000001</v>
      </c>
      <c r="N76" s="10">
        <v>15644.233644519998</v>
      </c>
      <c r="O76" s="10">
        <v>8.6916430000000017E-2</v>
      </c>
      <c r="P76" s="10">
        <v>-3.7392000000000002E-4</v>
      </c>
      <c r="Q76" s="10">
        <v>4927.1651295000001</v>
      </c>
      <c r="R76" s="10">
        <v>8927.5498531000012</v>
      </c>
      <c r="S76" s="10" t="s">
        <v>69</v>
      </c>
      <c r="T76" s="10">
        <v>4909.3717926400004</v>
      </c>
      <c r="U76" s="10">
        <v>4834.5063713300005</v>
      </c>
      <c r="V76" s="10">
        <v>100857.7039773</v>
      </c>
      <c r="W76" s="10">
        <v>37104.544887089993</v>
      </c>
      <c r="X76" s="10">
        <v>11767.842268</v>
      </c>
      <c r="Y76" s="10">
        <v>1.1459618999999999</v>
      </c>
      <c r="Z76" s="10">
        <v>10.524830959999999</v>
      </c>
      <c r="AA76" s="10">
        <v>10209.85999947</v>
      </c>
      <c r="AB76" s="10">
        <v>369.15740146999997</v>
      </c>
      <c r="AC76" s="10">
        <v>122817.75180860001</v>
      </c>
      <c r="AD76" s="10">
        <v>187402.32793172001</v>
      </c>
      <c r="AE76" s="10">
        <v>69136.621295439996</v>
      </c>
      <c r="AF76" s="10">
        <v>33927.744593169999</v>
      </c>
      <c r="AG76" s="10">
        <v>8969.3799675699993</v>
      </c>
      <c r="AH76" s="10">
        <v>282.51236511000002</v>
      </c>
      <c r="AI76" s="10">
        <v>491.56560748999743</v>
      </c>
    </row>
    <row r="77" spans="1:35" ht="15.75" x14ac:dyDescent="0.25">
      <c r="A77" t="s">
        <v>166</v>
      </c>
      <c r="B77" s="10">
        <v>250939.70717508002</v>
      </c>
      <c r="C77" s="10">
        <v>20080.190815350001</v>
      </c>
      <c r="D77" s="10">
        <v>300518.76805220998</v>
      </c>
      <c r="E77" s="10">
        <v>140495.88091708999</v>
      </c>
      <c r="F77" s="10">
        <v>1084.0296022300004</v>
      </c>
      <c r="G77" s="10">
        <v>105635.12892682001</v>
      </c>
      <c r="H77" s="10">
        <v>20093.962071419999</v>
      </c>
      <c r="I77" s="10">
        <v>11741.85347604</v>
      </c>
      <c r="J77" s="10">
        <v>2896.8571995599996</v>
      </c>
      <c r="K77" s="10">
        <v>17700</v>
      </c>
      <c r="L77" s="10">
        <v>7700</v>
      </c>
      <c r="M77" s="10">
        <v>25169.312760220004</v>
      </c>
      <c r="N77" s="10">
        <v>22166.164823790001</v>
      </c>
      <c r="O77" s="10">
        <v>3.7926047200000004</v>
      </c>
      <c r="P77" s="10">
        <v>-3.8237999999999998E-4</v>
      </c>
      <c r="Q77" s="10">
        <v>3677.7305983899996</v>
      </c>
      <c r="R77" s="10">
        <v>12230.7909882</v>
      </c>
      <c r="S77" s="10" t="s">
        <v>69</v>
      </c>
      <c r="T77" s="10">
        <v>5740.6632313599994</v>
      </c>
      <c r="U77" s="10">
        <v>5191.7517147199997</v>
      </c>
      <c r="V77" s="10">
        <v>155654.37953532001</v>
      </c>
      <c r="W77" s="10">
        <v>39383.613122260002</v>
      </c>
      <c r="X77" s="10">
        <v>11880.495019030001</v>
      </c>
      <c r="Y77" s="10">
        <v>1.9376999999999998E-4</v>
      </c>
      <c r="Z77" s="10">
        <v>12.184987849999999</v>
      </c>
      <c r="AA77" s="10">
        <v>10427.905033440002</v>
      </c>
      <c r="AB77" s="10">
        <v>340.57673324999996</v>
      </c>
      <c r="AC77" s="10">
        <v>125486.68515189001</v>
      </c>
      <c r="AD77" s="10">
        <v>187336.80270085999</v>
      </c>
      <c r="AE77" s="10">
        <v>65931.597704400003</v>
      </c>
      <c r="AF77" s="10">
        <v>32616.221724359999</v>
      </c>
      <c r="AG77" s="10">
        <v>9270.8851371399996</v>
      </c>
      <c r="AH77" s="10">
        <v>275.68721581</v>
      </c>
      <c r="AI77" s="10">
        <v>-6203.2320891600011</v>
      </c>
    </row>
    <row r="78" spans="1:35" ht="15.75" x14ac:dyDescent="0.25">
      <c r="A78" t="s">
        <v>167</v>
      </c>
      <c r="B78" s="10">
        <v>249666.84953790001</v>
      </c>
      <c r="C78" s="10">
        <v>19054.106323610002</v>
      </c>
      <c r="D78" s="10">
        <v>327958.74646877003</v>
      </c>
      <c r="E78" s="10">
        <v>133967.919161</v>
      </c>
      <c r="F78" s="10">
        <v>4409.6406607999998</v>
      </c>
      <c r="G78" s="10">
        <v>103341.44473215</v>
      </c>
      <c r="H78" s="10">
        <v>18625.22984294</v>
      </c>
      <c r="I78" s="10">
        <v>11545.052960460001</v>
      </c>
      <c r="J78" s="10">
        <v>3145.0970773699996</v>
      </c>
      <c r="K78" s="10">
        <v>13063.4</v>
      </c>
      <c r="L78" s="10">
        <v>2045</v>
      </c>
      <c r="M78" s="10">
        <v>22931.260111959997</v>
      </c>
      <c r="N78" s="10">
        <v>13619.183096889999</v>
      </c>
      <c r="O78" s="10" t="s">
        <v>69</v>
      </c>
      <c r="P78" s="10" t="s">
        <v>69</v>
      </c>
      <c r="Q78" s="10" t="s">
        <v>69</v>
      </c>
      <c r="R78" s="10">
        <v>7668.4172812300003</v>
      </c>
      <c r="S78" s="10">
        <v>17118.131590789999</v>
      </c>
      <c r="T78" s="10">
        <v>72840.595151400004</v>
      </c>
      <c r="U78" s="10">
        <v>4488.4560853900002</v>
      </c>
      <c r="V78" s="10">
        <v>74078.18922973999</v>
      </c>
      <c r="W78" s="10">
        <v>35165.579501550004</v>
      </c>
      <c r="X78" s="10">
        <v>6808.6788562500005</v>
      </c>
      <c r="Y78" s="10">
        <v>1.6075610000000001E-2</v>
      </c>
      <c r="Z78" s="10">
        <v>5.3459796700000002</v>
      </c>
      <c r="AA78" s="10">
        <v>9837.67846379</v>
      </c>
      <c r="AB78" s="10">
        <v>304.51082563999989</v>
      </c>
      <c r="AC78" s="10">
        <v>158166.48239453998</v>
      </c>
      <c r="AD78" s="10">
        <v>234933.43717913993</v>
      </c>
      <c r="AE78" s="10">
        <v>85720.378488190006</v>
      </c>
      <c r="AF78" s="10">
        <v>40362.079514739999</v>
      </c>
      <c r="AG78" s="10">
        <v>11558.99250145</v>
      </c>
      <c r="AH78" s="10">
        <v>270.98865076999994</v>
      </c>
      <c r="AI78" s="10">
        <v>4761.5029443399953</v>
      </c>
    </row>
    <row r="79" spans="1:35" ht="15.75" x14ac:dyDescent="0.25">
      <c r="A79" t="s">
        <v>168</v>
      </c>
      <c r="B79" s="10">
        <v>343428.05706477002</v>
      </c>
      <c r="C79" s="10">
        <v>21616.002346039997</v>
      </c>
      <c r="D79" s="10">
        <v>271212.39808617003</v>
      </c>
      <c r="E79" s="10">
        <v>135290.68589975999</v>
      </c>
      <c r="F79" s="10">
        <v>2472.8508021999996</v>
      </c>
      <c r="G79" s="10">
        <v>98321.812565689994</v>
      </c>
      <c r="H79" s="10">
        <v>16649.672920469999</v>
      </c>
      <c r="I79" s="10">
        <v>14167.519974090001</v>
      </c>
      <c r="J79" s="10">
        <v>2694.5285308000002</v>
      </c>
      <c r="K79" s="10">
        <v>7381</v>
      </c>
      <c r="L79" s="10">
        <v>11695</v>
      </c>
      <c r="M79" s="10">
        <v>15072.2879775</v>
      </c>
      <c r="N79" s="10">
        <v>18557.00852996</v>
      </c>
      <c r="O79" s="10" t="s">
        <v>69</v>
      </c>
      <c r="P79" s="10" t="s">
        <v>69</v>
      </c>
      <c r="Q79" s="10" t="s">
        <v>69</v>
      </c>
      <c r="R79" s="10">
        <v>38901.785471530005</v>
      </c>
      <c r="S79" s="10">
        <v>30586.53650971</v>
      </c>
      <c r="T79" s="10">
        <v>64523.589233399995</v>
      </c>
      <c r="U79" s="10">
        <v>3176.80021119</v>
      </c>
      <c r="V79" s="10">
        <v>89078.683202259999</v>
      </c>
      <c r="W79" s="10">
        <v>33133.220357520004</v>
      </c>
      <c r="X79" s="10">
        <v>7523.5388948600003</v>
      </c>
      <c r="Y79" s="10">
        <v>4.3293329999999998E-2</v>
      </c>
      <c r="Z79" s="10">
        <v>5.2446137699999991</v>
      </c>
      <c r="AA79" s="10">
        <v>10165.460617519999</v>
      </c>
      <c r="AB79" s="10">
        <v>222.53006629000006</v>
      </c>
      <c r="AC79" s="10">
        <v>128851.57318139999</v>
      </c>
      <c r="AD79" s="10">
        <v>183447.97858605999</v>
      </c>
      <c r="AE79" s="10">
        <v>75289.34714179</v>
      </c>
      <c r="AF79" s="10">
        <v>34280.463791399998</v>
      </c>
      <c r="AG79" s="10">
        <v>13565.661690280001</v>
      </c>
      <c r="AH79" s="10">
        <v>348.54953703000001</v>
      </c>
      <c r="AI79" s="10">
        <v>-43.711167589994147</v>
      </c>
    </row>
    <row r="80" spans="1:35" ht="15.75" x14ac:dyDescent="0.25">
      <c r="A80" t="s">
        <v>169</v>
      </c>
      <c r="B80" s="10">
        <v>343947.56884476001</v>
      </c>
      <c r="C80" s="10">
        <v>25431.121885550001</v>
      </c>
      <c r="D80" s="10">
        <v>311182.11762278999</v>
      </c>
      <c r="E80" s="10">
        <v>175138.65619236999</v>
      </c>
      <c r="F80" s="10">
        <v>1257.2692198000002</v>
      </c>
      <c r="G80" s="10">
        <v>115931.86532870001</v>
      </c>
      <c r="H80" s="10">
        <v>38637.100315200005</v>
      </c>
      <c r="I80" s="10">
        <v>17695.751864639999</v>
      </c>
      <c r="J80" s="10">
        <v>3490.7383318000002</v>
      </c>
      <c r="K80" s="10">
        <v>13293.3</v>
      </c>
      <c r="L80" s="10">
        <v>9799.6</v>
      </c>
      <c r="M80" s="10">
        <v>15839.692215540001</v>
      </c>
      <c r="N80" s="10">
        <v>16614.08630924</v>
      </c>
      <c r="O80" s="10" t="s">
        <v>69</v>
      </c>
      <c r="P80" s="10" t="s">
        <v>69</v>
      </c>
      <c r="Q80" s="10" t="s">
        <v>69</v>
      </c>
      <c r="R80" s="10">
        <v>76125.810105679993</v>
      </c>
      <c r="S80" s="10">
        <v>250486.18953907001</v>
      </c>
      <c r="T80" s="10">
        <v>76659.022190699994</v>
      </c>
      <c r="U80" s="10">
        <v>4651.2973246900001</v>
      </c>
      <c r="V80" s="10">
        <v>116416.45142492</v>
      </c>
      <c r="W80" s="10">
        <v>42449.338898889997</v>
      </c>
      <c r="X80" s="10">
        <v>9474.382805629999</v>
      </c>
      <c r="Y80" s="10">
        <v>1.08607E-3</v>
      </c>
      <c r="Z80" s="10">
        <v>4.0054500399999995</v>
      </c>
      <c r="AA80" s="10">
        <v>15180.128346690002</v>
      </c>
      <c r="AB80" s="10">
        <v>231.21517224999999</v>
      </c>
      <c r="AC80" s="10">
        <v>160686.27530292002</v>
      </c>
      <c r="AD80" s="10">
        <v>230106.00012553998</v>
      </c>
      <c r="AE80" s="10">
        <v>90297.454716950015</v>
      </c>
      <c r="AF80" s="10">
        <v>40887.933654869994</v>
      </c>
      <c r="AG80" s="10">
        <v>13582.273298870001</v>
      </c>
      <c r="AH80" s="10">
        <v>358.50170807999996</v>
      </c>
      <c r="AI80" s="10">
        <v>4145.4817034000025</v>
      </c>
    </row>
    <row r="81" spans="1:35" ht="15.75" x14ac:dyDescent="0.25">
      <c r="A81" t="s">
        <v>170</v>
      </c>
      <c r="B81" s="10">
        <f>SUM('03-19'!B223:B225)</f>
        <v>434146.07211718999</v>
      </c>
      <c r="C81" s="10">
        <f>SUM('03-19'!C223:C225)</f>
        <v>30013.571188540001</v>
      </c>
      <c r="D81" s="10">
        <f>SUM('03-19'!D223:D225)</f>
        <v>379160.29840113001</v>
      </c>
      <c r="E81" s="10">
        <f>SUM('03-19'!E223:E225)</f>
        <v>217649.97158678999</v>
      </c>
      <c r="F81" s="10">
        <f>SUM('03-19'!F223:F225)</f>
        <v>79.444489300000001</v>
      </c>
      <c r="G81" s="10">
        <f>SUM('03-19'!G223:G225)</f>
        <v>134863.99500837998</v>
      </c>
      <c r="H81" s="10">
        <f>SUM('03-19'!H223:H225)</f>
        <v>28032.155307929999</v>
      </c>
      <c r="I81" s="10">
        <f>SUM('03-19'!I223:I225)</f>
        <v>20275.796726609999</v>
      </c>
      <c r="J81" s="10">
        <f>SUM('03-19'!J223:J225)</f>
        <v>4054.2004985700005</v>
      </c>
      <c r="K81" s="10">
        <f>SUM('03-19'!K223:K225)</f>
        <v>12438</v>
      </c>
      <c r="L81" s="10">
        <f>SUM('03-19'!L223:L225)</f>
        <v>8642</v>
      </c>
      <c r="M81" s="10" t="s">
        <v>69</v>
      </c>
      <c r="N81" s="10" t="s">
        <v>69</v>
      </c>
      <c r="O81" s="10" t="s">
        <v>69</v>
      </c>
      <c r="P81" s="10" t="s">
        <v>69</v>
      </c>
      <c r="Q81" s="10" t="s">
        <v>69</v>
      </c>
      <c r="R81" s="10">
        <f>SUM('03-19'!R223:R225)</f>
        <v>84685.592542039987</v>
      </c>
      <c r="S81" s="10">
        <f>SUM('03-19'!S223:S225)</f>
        <v>24501.963179999999</v>
      </c>
      <c r="T81" s="10">
        <f>SUM('03-19'!T223:T225)</f>
        <v>7766.6239834900007</v>
      </c>
      <c r="U81" s="10">
        <f>SUM('03-19'!U223:U225)</f>
        <v>5784.8146745799995</v>
      </c>
      <c r="V81" s="10">
        <f>SUM('03-19'!V223:V225)</f>
        <v>108069.42233618</v>
      </c>
      <c r="W81" s="10">
        <f>SUM('03-19'!W223:W225)</f>
        <v>54140.008209729996</v>
      </c>
      <c r="X81" s="10">
        <f>SUM('03-19'!X223:X225)</f>
        <v>11041.880279679999</v>
      </c>
      <c r="Y81" s="10">
        <f>SUM('03-19'!Y223:Y225)</f>
        <v>6.0702999999999994E-4</v>
      </c>
      <c r="Z81" s="10">
        <f>SUM('03-19'!Z223:Z225)</f>
        <v>5.3979719500000005</v>
      </c>
      <c r="AA81" s="10">
        <f>SUM('03-19'!AA223:AA225)</f>
        <v>18099.240768940002</v>
      </c>
      <c r="AB81" s="10">
        <f>SUM('03-19'!AB223:AB225)</f>
        <v>392.95975490000001</v>
      </c>
      <c r="AC81" s="10">
        <f>SUM('03-19'!AC223:AC225)</f>
        <v>160523.00836916998</v>
      </c>
      <c r="AD81" s="10">
        <f>SUM('03-19'!AD223:AD225)</f>
        <v>228874.35684573001</v>
      </c>
      <c r="AE81" s="10">
        <f>SUM('03-19'!AE223:AE225)</f>
        <v>85258.416213079996</v>
      </c>
      <c r="AF81" s="10">
        <f>SUM('03-19'!AF223:AF225)</f>
        <v>40160.477174739994</v>
      </c>
      <c r="AG81" s="10">
        <f>SUM('03-19'!AG223:AG225)</f>
        <v>13310.99230337</v>
      </c>
      <c r="AH81" s="10">
        <f>SUM('03-19'!AH223:AH225)</f>
        <v>365.06314441000006</v>
      </c>
      <c r="AI81" s="10">
        <f>SUM('03-19'!AI223:AI225)</f>
        <v>-2646.7708566500046</v>
      </c>
    </row>
  </sheetData>
  <mergeCells count="31">
    <mergeCell ref="Y8:Y9"/>
    <mergeCell ref="AG8:AG9"/>
    <mergeCell ref="AH8:AH9"/>
    <mergeCell ref="AI8:AI9"/>
    <mergeCell ref="AA8:AA9"/>
    <mergeCell ref="AB8:AB9"/>
    <mergeCell ref="AC8:AC9"/>
    <mergeCell ref="AD8:AD9"/>
    <mergeCell ref="AE8:AE9"/>
    <mergeCell ref="AF8:AF9"/>
    <mergeCell ref="T8:T9"/>
    <mergeCell ref="U8:U9"/>
    <mergeCell ref="V8:V9"/>
    <mergeCell ref="W8:W9"/>
    <mergeCell ref="X8:X9"/>
    <mergeCell ref="A6:A9"/>
    <mergeCell ref="B6:AI6"/>
    <mergeCell ref="B7:U7"/>
    <mergeCell ref="V7:AB7"/>
    <mergeCell ref="AC7:AI7"/>
    <mergeCell ref="B8:C8"/>
    <mergeCell ref="D8:E8"/>
    <mergeCell ref="F8:F9"/>
    <mergeCell ref="G8:G9"/>
    <mergeCell ref="H8:I8"/>
    <mergeCell ref="Z8:Z9"/>
    <mergeCell ref="J8:J9"/>
    <mergeCell ref="K8:L8"/>
    <mergeCell ref="M8:Q8"/>
    <mergeCell ref="R8:R9"/>
    <mergeCell ref="S8:S9"/>
  </mergeCells>
  <phoneticPr fontId="6" type="noConversion"/>
  <hyperlinks>
    <hyperlink ref="B4" r:id="rId1" xr:uid="{5A3BD3A5-41AE-4EF7-B8AC-7BCF7E02520C}"/>
    <hyperlink ref="E4" location="INDICE!A1" display="Volver al indeice" xr:uid="{E9D34BA6-6CBE-4D1A-B8E9-1AC00FA397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0ee3e6-7f0d-4b1c-acff-3997b61dbd74">
      <Terms xmlns="http://schemas.microsoft.com/office/infopath/2007/PartnerControls"/>
    </lcf76f155ced4ddcb4097134ff3c332f>
    <TaxCatchAll xmlns="846225a6-33b7-4391-b326-32ebc6bb279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0EF3F800B87047A07FADC8585EB376" ma:contentTypeVersion="13" ma:contentTypeDescription="Crear nuevo documento." ma:contentTypeScope="" ma:versionID="1f4acf730d033b37c85575c8bfd3261c">
  <xsd:schema xmlns:xsd="http://www.w3.org/2001/XMLSchema" xmlns:xs="http://www.w3.org/2001/XMLSchema" xmlns:p="http://schemas.microsoft.com/office/2006/metadata/properties" xmlns:ns2="d50ee3e6-7f0d-4b1c-acff-3997b61dbd74" xmlns:ns3="846225a6-33b7-4391-b326-32ebc6bb279f" targetNamespace="http://schemas.microsoft.com/office/2006/metadata/properties" ma:root="true" ma:fieldsID="44c0befb9e07f75dd33aae2b9feac998" ns2:_="" ns3:_="">
    <xsd:import namespace="d50ee3e6-7f0d-4b1c-acff-3997b61dbd74"/>
    <xsd:import namespace="846225a6-33b7-4391-b326-32ebc6bb27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ee3e6-7f0d-4b1c-acff-3997b61dbd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480f935f-056e-43d0-a9c3-6f0a0280ba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225a6-33b7-4391-b326-32ebc6bb27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47ab489-5afd-4daa-962b-290c9697ef26}" ma:internalName="TaxCatchAll" ma:showField="CatchAllData" ma:web="846225a6-33b7-4391-b326-32ebc6bb27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4F71F1-C10B-4397-9982-095BE737519B}">
  <ds:schemaRefs>
    <ds:schemaRef ds:uri="http://schemas.microsoft.com/office/2006/metadata/properties"/>
    <ds:schemaRef ds:uri="http://schemas.microsoft.com/office/infopath/2007/PartnerControls"/>
    <ds:schemaRef ds:uri="d50ee3e6-7f0d-4b1c-acff-3997b61dbd74"/>
    <ds:schemaRef ds:uri="846225a6-33b7-4391-b326-32ebc6bb279f"/>
  </ds:schemaRefs>
</ds:datastoreItem>
</file>

<file path=customXml/itemProps2.xml><?xml version="1.0" encoding="utf-8"?>
<ds:datastoreItem xmlns:ds="http://schemas.openxmlformats.org/officeDocument/2006/customXml" ds:itemID="{DD26A3D4-7252-4B39-8BCE-03714A25B7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7099A-F664-4A3A-AD1E-B242CFC3E7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0ee3e6-7f0d-4b1c-acff-3997b61dbd74"/>
    <ds:schemaRef ds:uri="846225a6-33b7-4391-b326-32ebc6bb2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INDICE</vt:lpstr>
      <vt:lpstr>96-21</vt:lpstr>
      <vt:lpstr>Cuadro trimestral (96-21)</vt:lpstr>
      <vt:lpstr>Cuadro anual (96-21)</vt:lpstr>
      <vt:lpstr>96-02</vt:lpstr>
      <vt:lpstr>Cuadro trimestral (96-02)</vt:lpstr>
      <vt:lpstr>Cuadro anual (96-02)</vt:lpstr>
      <vt:lpstr>03-19</vt:lpstr>
      <vt:lpstr>Cuadro trimestral (03-19)</vt:lpstr>
      <vt:lpstr>Cuadro anual (03-19)</vt:lpstr>
      <vt:lpstr>20-24</vt:lpstr>
      <vt:lpstr>Cuadro trimestral (20-24)</vt:lpstr>
      <vt:lpstr>Cuadro anual (20-24)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Agustina PC</dc:creator>
  <cp:keywords/>
  <dc:description/>
  <cp:lastModifiedBy>ALVAREZ MARTIN</cp:lastModifiedBy>
  <cp:revision/>
  <dcterms:created xsi:type="dcterms:W3CDTF">2020-10-22T22:19:50Z</dcterms:created>
  <dcterms:modified xsi:type="dcterms:W3CDTF">2024-03-15T14:43:13Z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0x010100720EF3F800B87047A07FADC8585EB376</vt:lpwstr>
  </property>
  <property fmtid="{D5CDD505-2E9C-101B-9397-08002B2CF9AE}" pid="3" name="MediaServiceImageTags">
    <vt:lpwstr/>
  </property>
</Properties>
</file>